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s2.udenscollege.nl\RBS$\Bureaublad\"/>
    </mc:Choice>
  </mc:AlternateContent>
  <bookViews>
    <workbookView xWindow="0" yWindow="0" windowWidth="21600" windowHeight="9600"/>
  </bookViews>
  <sheets>
    <sheet name="Verzamelstaat" sheetId="6" r:id="rId1"/>
    <sheet name="Woordrapport" sheetId="7" r:id="rId2"/>
    <sheet name="Rubric" sheetId="1" r:id="rId3"/>
    <sheet name="Curves" sheetId="5" state="hidden" r:id="rId4"/>
    <sheet name="Invulcheck" sheetId="8" r:id="rId5"/>
    <sheet name="VerlengdeStage" sheetId="10" r:id="rId6"/>
    <sheet name="Printversie" sheetId="9" state="hidden" r:id="rId7"/>
  </sheets>
  <definedNames>
    <definedName name="_GoBack" localSheetId="2">Rubric!$E$18</definedName>
  </definedNames>
  <calcPr calcId="162913"/>
</workbook>
</file>

<file path=xl/calcChain.xml><?xml version="1.0" encoding="utf-8"?>
<calcChain xmlns="http://schemas.openxmlformats.org/spreadsheetml/2006/main">
  <c r="C10" i="10" l="1"/>
  <c r="C12" i="10" l="1"/>
  <c r="H19" i="10"/>
  <c r="H20" i="10"/>
  <c r="H21" i="10"/>
  <c r="H18" i="10"/>
  <c r="C16" i="10"/>
  <c r="H15" i="10"/>
  <c r="H14" i="10"/>
  <c r="H4" i="10" l="1"/>
  <c r="H34" i="6" s="1"/>
  <c r="A16" i="10"/>
  <c r="C6" i="10" l="1"/>
  <c r="C7" i="10"/>
  <c r="C8" i="10"/>
  <c r="C9" i="10"/>
  <c r="C17" i="10"/>
  <c r="C11" i="10"/>
  <c r="C5" i="10"/>
  <c r="B15" i="8"/>
  <c r="H35" i="9" l="1"/>
  <c r="S34" i="9"/>
  <c r="R34" i="9"/>
  <c r="Q34" i="9"/>
  <c r="P34" i="9"/>
  <c r="M34" i="9"/>
  <c r="L34" i="9"/>
  <c r="K34" i="9"/>
  <c r="J34" i="9"/>
  <c r="I34" i="9"/>
  <c r="O34" i="9" s="1"/>
  <c r="G34" i="9"/>
  <c r="S33" i="9"/>
  <c r="M33" i="9"/>
  <c r="L33" i="9"/>
  <c r="K33" i="9"/>
  <c r="J33" i="9"/>
  <c r="I33" i="9"/>
  <c r="G33" i="9"/>
  <c r="S32" i="9"/>
  <c r="R32" i="9"/>
  <c r="Q32" i="9"/>
  <c r="M32" i="9"/>
  <c r="L32" i="9"/>
  <c r="K32" i="9"/>
  <c r="J32" i="9"/>
  <c r="I32" i="9"/>
  <c r="G32" i="9"/>
  <c r="S31" i="9"/>
  <c r="R31" i="9"/>
  <c r="Q31" i="9"/>
  <c r="P31" i="9"/>
  <c r="M31" i="9"/>
  <c r="L31" i="9"/>
  <c r="K31" i="9"/>
  <c r="J31" i="9"/>
  <c r="I31" i="9"/>
  <c r="O31" i="9" s="1"/>
  <c r="G31" i="9"/>
  <c r="S30" i="9"/>
  <c r="M30" i="9"/>
  <c r="L30" i="9"/>
  <c r="K30" i="9"/>
  <c r="J30" i="9"/>
  <c r="I30" i="9"/>
  <c r="G30" i="9"/>
  <c r="S29" i="9"/>
  <c r="R29" i="9"/>
  <c r="Q29" i="9"/>
  <c r="P29" i="9"/>
  <c r="M29" i="9"/>
  <c r="L29" i="9"/>
  <c r="L35" i="9" s="1"/>
  <c r="K29" i="9"/>
  <c r="J29" i="9"/>
  <c r="I29" i="9"/>
  <c r="O29" i="9" s="1"/>
  <c r="G29" i="9"/>
  <c r="S28" i="9"/>
  <c r="M28" i="9"/>
  <c r="L28" i="9"/>
  <c r="K28" i="9"/>
  <c r="J28" i="9"/>
  <c r="I28" i="9"/>
  <c r="G28" i="9"/>
  <c r="H26" i="9"/>
  <c r="S25" i="9"/>
  <c r="M25" i="9"/>
  <c r="L25" i="9"/>
  <c r="K25" i="9"/>
  <c r="J25" i="9"/>
  <c r="I25" i="9"/>
  <c r="G25" i="9"/>
  <c r="S24" i="9"/>
  <c r="M24" i="9"/>
  <c r="L24" i="9"/>
  <c r="K24" i="9"/>
  <c r="J24" i="9"/>
  <c r="I24" i="9"/>
  <c r="G24" i="9"/>
  <c r="S23" i="9"/>
  <c r="R23" i="9"/>
  <c r="Q23" i="9"/>
  <c r="P23" i="9"/>
  <c r="M23" i="9"/>
  <c r="L23" i="9"/>
  <c r="K23" i="9"/>
  <c r="J23" i="9"/>
  <c r="I23" i="9"/>
  <c r="O23" i="9" s="1"/>
  <c r="G23" i="9"/>
  <c r="S22" i="9"/>
  <c r="M22" i="9"/>
  <c r="L22" i="9"/>
  <c r="K22" i="9"/>
  <c r="J22" i="9"/>
  <c r="I22" i="9"/>
  <c r="G22" i="9"/>
  <c r="S21" i="9"/>
  <c r="R21" i="9"/>
  <c r="Q21" i="9"/>
  <c r="P21" i="9"/>
  <c r="M21" i="9"/>
  <c r="L21" i="9"/>
  <c r="K21" i="9"/>
  <c r="J21" i="9"/>
  <c r="I21" i="9"/>
  <c r="G21" i="9"/>
  <c r="S20" i="9"/>
  <c r="R20" i="9"/>
  <c r="Q20" i="9"/>
  <c r="P20" i="9"/>
  <c r="M20" i="9"/>
  <c r="L20" i="9"/>
  <c r="K20" i="9"/>
  <c r="J20" i="9"/>
  <c r="I20" i="9"/>
  <c r="G20" i="9"/>
  <c r="S19" i="9"/>
  <c r="M19" i="9"/>
  <c r="L19" i="9"/>
  <c r="K19" i="9"/>
  <c r="J19" i="9"/>
  <c r="I19" i="9"/>
  <c r="G19" i="9"/>
  <c r="S18" i="9"/>
  <c r="M18" i="9"/>
  <c r="L18" i="9"/>
  <c r="K18" i="9"/>
  <c r="J18" i="9"/>
  <c r="I18" i="9"/>
  <c r="G18" i="9"/>
  <c r="S17" i="9"/>
  <c r="R17" i="9"/>
  <c r="Q17" i="9"/>
  <c r="P17" i="9"/>
  <c r="M17" i="9"/>
  <c r="L17" i="9"/>
  <c r="K17" i="9"/>
  <c r="J17" i="9"/>
  <c r="I17" i="9"/>
  <c r="G17" i="9"/>
  <c r="H15" i="9"/>
  <c r="S14" i="9"/>
  <c r="M14" i="9"/>
  <c r="L14" i="9"/>
  <c r="K14" i="9"/>
  <c r="J14" i="9"/>
  <c r="I14" i="9"/>
  <c r="G14" i="9"/>
  <c r="S13" i="9"/>
  <c r="R13" i="9"/>
  <c r="Q13" i="9"/>
  <c r="P13" i="9"/>
  <c r="M13" i="9"/>
  <c r="L13" i="9"/>
  <c r="K13" i="9"/>
  <c r="J13" i="9"/>
  <c r="I13" i="9"/>
  <c r="S12" i="9"/>
  <c r="R12" i="9"/>
  <c r="Q12" i="9"/>
  <c r="P12" i="9"/>
  <c r="M12" i="9"/>
  <c r="L12" i="9"/>
  <c r="K12" i="9"/>
  <c r="J12" i="9"/>
  <c r="I12" i="9"/>
  <c r="O12" i="9" s="1"/>
  <c r="G12" i="9"/>
  <c r="S11" i="9"/>
  <c r="M11" i="9"/>
  <c r="L11" i="9"/>
  <c r="K11" i="9"/>
  <c r="J11" i="9"/>
  <c r="I11" i="9"/>
  <c r="G11" i="9"/>
  <c r="S10" i="9"/>
  <c r="M10" i="9"/>
  <c r="L10" i="9"/>
  <c r="K10" i="9"/>
  <c r="J10" i="9"/>
  <c r="I10" i="9"/>
  <c r="G10" i="9"/>
  <c r="S9" i="9"/>
  <c r="R9" i="9"/>
  <c r="Q9" i="9"/>
  <c r="P9" i="9"/>
  <c r="M9" i="9"/>
  <c r="L9" i="9"/>
  <c r="K9" i="9"/>
  <c r="J9" i="9"/>
  <c r="I9" i="9"/>
  <c r="G9" i="9"/>
  <c r="S8" i="9"/>
  <c r="M8" i="9"/>
  <c r="L8" i="9"/>
  <c r="K8" i="9"/>
  <c r="J8" i="9"/>
  <c r="I8" i="9"/>
  <c r="G8" i="9"/>
  <c r="S7" i="9"/>
  <c r="M7" i="9"/>
  <c r="L7" i="9"/>
  <c r="K7" i="9"/>
  <c r="J7" i="9"/>
  <c r="I7" i="9"/>
  <c r="G7" i="9"/>
  <c r="S6" i="9"/>
  <c r="R6" i="9"/>
  <c r="Q6" i="9"/>
  <c r="P6" i="9"/>
  <c r="M6" i="9"/>
  <c r="L6" i="9"/>
  <c r="K6" i="9"/>
  <c r="J6" i="9"/>
  <c r="I6" i="9"/>
  <c r="O6" i="9" s="1"/>
  <c r="G6" i="9"/>
  <c r="S5" i="9"/>
  <c r="R5" i="9"/>
  <c r="Q5" i="9"/>
  <c r="Q15" i="9" s="1"/>
  <c r="P5" i="9"/>
  <c r="M5" i="9"/>
  <c r="L5" i="9"/>
  <c r="K5" i="9"/>
  <c r="K15" i="9" s="1"/>
  <c r="J5" i="9"/>
  <c r="I5" i="9"/>
  <c r="O5" i="9" s="1"/>
  <c r="G5" i="9"/>
  <c r="G2" i="9"/>
  <c r="P14" i="1"/>
  <c r="N18" i="9" l="1"/>
  <c r="K26" i="9"/>
  <c r="N14" i="9"/>
  <c r="I26" i="9"/>
  <c r="M26" i="9"/>
  <c r="S26" i="9"/>
  <c r="P35" i="9"/>
  <c r="J35" i="9"/>
  <c r="N30" i="9"/>
  <c r="J1" i="9"/>
  <c r="H1" i="9"/>
  <c r="L15" i="9"/>
  <c r="R15" i="9"/>
  <c r="N6" i="9"/>
  <c r="N9" i="9"/>
  <c r="N12" i="9"/>
  <c r="N17" i="9"/>
  <c r="O17" i="9"/>
  <c r="O26" i="9" s="1"/>
  <c r="N23" i="9"/>
  <c r="R35" i="9"/>
  <c r="N32" i="9"/>
  <c r="J15" i="9"/>
  <c r="P15" i="9"/>
  <c r="N7" i="9"/>
  <c r="N10" i="9"/>
  <c r="N13" i="9"/>
  <c r="I1" i="9"/>
  <c r="L26" i="9"/>
  <c r="Q26" i="9"/>
  <c r="N19" i="9"/>
  <c r="N21" i="9"/>
  <c r="N24" i="9"/>
  <c r="I35" i="9"/>
  <c r="M35" i="9"/>
  <c r="N33" i="9"/>
  <c r="Q35" i="9"/>
  <c r="S35" i="9"/>
  <c r="K35" i="9"/>
  <c r="N35" i="9" s="1"/>
  <c r="M15" i="9"/>
  <c r="S15" i="9"/>
  <c r="N8" i="9"/>
  <c r="N11" i="9"/>
  <c r="P26" i="9"/>
  <c r="N20" i="9"/>
  <c r="R26" i="9"/>
  <c r="N22" i="9"/>
  <c r="N25" i="9"/>
  <c r="N34" i="9"/>
  <c r="O15" i="9"/>
  <c r="O35" i="9"/>
  <c r="T35" i="9"/>
  <c r="I15" i="9"/>
  <c r="J26" i="9"/>
  <c r="N26" i="9" s="1"/>
  <c r="T26" i="9"/>
  <c r="N28" i="9"/>
  <c r="N29" i="9"/>
  <c r="N31" i="9"/>
  <c r="N5" i="9"/>
  <c r="T15" i="9"/>
  <c r="B9" i="8"/>
  <c r="B10" i="8"/>
  <c r="B8" i="8"/>
  <c r="B7" i="8"/>
  <c r="B6" i="8"/>
  <c r="B16" i="8"/>
  <c r="N15" i="9" l="1"/>
  <c r="Z15" i="9" s="1"/>
  <c r="U26" i="9"/>
  <c r="X26" i="9"/>
  <c r="Z26" i="9"/>
  <c r="X35" i="9"/>
  <c r="U35" i="9"/>
  <c r="Z35" i="9"/>
  <c r="U15" i="9"/>
  <c r="X15" i="9"/>
  <c r="S30" i="1"/>
  <c r="S31" i="1"/>
  <c r="S32" i="1"/>
  <c r="S33" i="1"/>
  <c r="S34" i="1"/>
  <c r="S35" i="1"/>
  <c r="S29" i="1"/>
  <c r="S19" i="1"/>
  <c r="S20" i="1"/>
  <c r="S21" i="1"/>
  <c r="S22" i="1"/>
  <c r="S23" i="1"/>
  <c r="S24" i="1"/>
  <c r="S25" i="1"/>
  <c r="S26" i="1"/>
  <c r="S18" i="1"/>
  <c r="S7" i="1"/>
  <c r="S8" i="1"/>
  <c r="S9" i="1"/>
  <c r="S10" i="1"/>
  <c r="S11" i="1"/>
  <c r="S12" i="1"/>
  <c r="S13" i="1"/>
  <c r="S14" i="1"/>
  <c r="S15" i="1"/>
  <c r="S6" i="1"/>
  <c r="B4" i="8"/>
  <c r="G4" i="8" s="1"/>
  <c r="B5" i="8"/>
  <c r="G5" i="8" s="1"/>
  <c r="G6" i="8"/>
  <c r="G15" i="8"/>
  <c r="G9" i="8"/>
  <c r="G8" i="8"/>
  <c r="G7" i="8"/>
  <c r="AC35" i="9" l="1"/>
  <c r="AC34" i="9"/>
  <c r="V26" i="9"/>
  <c r="AB26" i="9" s="1"/>
  <c r="AC15" i="9"/>
  <c r="AC14" i="9"/>
  <c r="AC25" i="9"/>
  <c r="AC26" i="9"/>
  <c r="V35" i="9"/>
  <c r="AB35" i="9" s="1"/>
  <c r="V15" i="9"/>
  <c r="S27" i="1"/>
  <c r="S36" i="1"/>
  <c r="S16" i="1"/>
  <c r="R35" i="1"/>
  <c r="R33" i="1"/>
  <c r="R32" i="1"/>
  <c r="R30" i="1"/>
  <c r="Q35" i="1"/>
  <c r="Q33" i="1"/>
  <c r="Q32" i="1"/>
  <c r="Q30" i="1"/>
  <c r="P35" i="1"/>
  <c r="P32" i="1"/>
  <c r="P30" i="1"/>
  <c r="R24" i="1"/>
  <c r="R22" i="1"/>
  <c r="R21" i="1"/>
  <c r="R18" i="1"/>
  <c r="Q24" i="1"/>
  <c r="Q22" i="1"/>
  <c r="Q21" i="1"/>
  <c r="Q18" i="1"/>
  <c r="P22" i="1"/>
  <c r="P21" i="1"/>
  <c r="R13" i="1"/>
  <c r="R10" i="1"/>
  <c r="R7" i="1"/>
  <c r="R6" i="1"/>
  <c r="P24" i="1"/>
  <c r="P18" i="1"/>
  <c r="Q7" i="1"/>
  <c r="Q10" i="1"/>
  <c r="Q13" i="1"/>
  <c r="Q14" i="1"/>
  <c r="Q6" i="1"/>
  <c r="P7" i="1"/>
  <c r="P10" i="1"/>
  <c r="P13" i="1"/>
  <c r="P6" i="1"/>
  <c r="AB25" i="9" l="1"/>
  <c r="AA14" i="9"/>
  <c r="AA15" i="9"/>
  <c r="AA35" i="9"/>
  <c r="AA34" i="9"/>
  <c r="AD35" i="9"/>
  <c r="AE35" i="9" s="1"/>
  <c r="AA26" i="9"/>
  <c r="AA25" i="9"/>
  <c r="AD26" i="9"/>
  <c r="AE26" i="9" s="1"/>
  <c r="AB14" i="9"/>
  <c r="AB34" i="9"/>
  <c r="AB15" i="9"/>
  <c r="AD15" i="9" s="1"/>
  <c r="AE15" i="9" s="1"/>
  <c r="G3" i="1"/>
  <c r="Q145" i="1"/>
  <c r="S145" i="1"/>
  <c r="Q132" i="1"/>
  <c r="S132" i="1"/>
  <c r="Q119" i="1"/>
  <c r="S119" i="1"/>
  <c r="H28" i="6"/>
  <c r="M132" i="1"/>
  <c r="H36" i="1"/>
  <c r="M145" i="1" l="1"/>
  <c r="M119" i="1"/>
  <c r="T36" i="1"/>
  <c r="B49" i="6"/>
  <c r="B48" i="6"/>
  <c r="B47" i="6"/>
  <c r="B46" i="6"/>
  <c r="D37" i="6"/>
  <c r="C12" i="6"/>
  <c r="B2" i="7" l="1"/>
  <c r="B1" i="9"/>
  <c r="N119" i="1"/>
  <c r="N145" i="1"/>
  <c r="N132" i="1"/>
  <c r="A36" i="6"/>
  <c r="B2" i="1"/>
  <c r="B2" i="6"/>
  <c r="Q106" i="1"/>
  <c r="S106" i="1"/>
  <c r="Q93" i="1"/>
  <c r="S93" i="1"/>
  <c r="Q80" i="1"/>
  <c r="S80" i="1"/>
  <c r="Q67" i="1"/>
  <c r="S67" i="1"/>
  <c r="Q54" i="1"/>
  <c r="S54" i="1"/>
  <c r="Q41" i="1"/>
  <c r="S41" i="1"/>
  <c r="M106" i="1"/>
  <c r="B6" i="5"/>
  <c r="B5" i="5"/>
  <c r="B4" i="5"/>
  <c r="B3" i="5"/>
  <c r="D1" i="5" s="1"/>
  <c r="R14" i="1"/>
  <c r="G35" i="1"/>
  <c r="G34" i="1"/>
  <c r="G33" i="1"/>
  <c r="G32" i="1"/>
  <c r="G31" i="1"/>
  <c r="G30" i="1"/>
  <c r="G29" i="1"/>
  <c r="G26" i="1"/>
  <c r="G25" i="1"/>
  <c r="G24" i="1"/>
  <c r="G23" i="1"/>
  <c r="G22" i="1"/>
  <c r="G21" i="1"/>
  <c r="G20" i="1"/>
  <c r="G19" i="1"/>
  <c r="G18" i="1"/>
  <c r="G15" i="1"/>
  <c r="G13" i="1"/>
  <c r="G12" i="1"/>
  <c r="G11" i="1"/>
  <c r="G10" i="1"/>
  <c r="G9" i="1"/>
  <c r="G8" i="1"/>
  <c r="G7" i="1"/>
  <c r="G6" i="1"/>
  <c r="M54" i="1"/>
  <c r="D2" i="5" l="1"/>
  <c r="J2" i="5" s="1"/>
  <c r="J1" i="5"/>
  <c r="G1" i="5"/>
  <c r="I1" i="5"/>
  <c r="I2" i="5"/>
  <c r="H1" i="5"/>
  <c r="L1" i="5" s="1"/>
  <c r="H2" i="5"/>
  <c r="E1" i="5"/>
  <c r="K1" i="5" s="1"/>
  <c r="F2" i="5"/>
  <c r="G2" i="5"/>
  <c r="F1" i="5"/>
  <c r="P36" i="1"/>
  <c r="J119" i="1" s="1"/>
  <c r="R36" i="1"/>
  <c r="L119" i="1" s="1"/>
  <c r="I2" i="7"/>
  <c r="G2" i="7"/>
  <c r="Q36" i="1"/>
  <c r="H2" i="7"/>
  <c r="H2" i="6"/>
  <c r="B13" i="8" s="1"/>
  <c r="G13" i="8" s="1"/>
  <c r="I2" i="1"/>
  <c r="H2" i="1"/>
  <c r="J2" i="1"/>
  <c r="I2" i="6"/>
  <c r="H29" i="6"/>
  <c r="D38" i="6" s="1"/>
  <c r="G2" i="6"/>
  <c r="M80" i="1"/>
  <c r="M93" i="1"/>
  <c r="M41" i="1"/>
  <c r="M67" i="1"/>
  <c r="H27" i="1"/>
  <c r="H16" i="1"/>
  <c r="M35" i="1"/>
  <c r="L35" i="1"/>
  <c r="K35" i="1"/>
  <c r="J35" i="1"/>
  <c r="I35" i="1"/>
  <c r="M34" i="1"/>
  <c r="L34" i="1"/>
  <c r="K34" i="1"/>
  <c r="J34" i="1"/>
  <c r="I34" i="1"/>
  <c r="M33" i="1"/>
  <c r="L33" i="1"/>
  <c r="K33" i="1"/>
  <c r="J33" i="1"/>
  <c r="I33" i="1"/>
  <c r="M32" i="1"/>
  <c r="L32" i="1"/>
  <c r="K32" i="1"/>
  <c r="J32" i="1"/>
  <c r="I32" i="1"/>
  <c r="O32" i="1" s="1"/>
  <c r="M31" i="1"/>
  <c r="L31" i="1"/>
  <c r="K31" i="1"/>
  <c r="J31" i="1"/>
  <c r="I31" i="1"/>
  <c r="M30" i="1"/>
  <c r="L30" i="1"/>
  <c r="K30" i="1"/>
  <c r="J30" i="1"/>
  <c r="I30" i="1"/>
  <c r="O30" i="1" s="1"/>
  <c r="M29" i="1"/>
  <c r="L29" i="1"/>
  <c r="K29" i="1"/>
  <c r="J29" i="1"/>
  <c r="I29" i="1"/>
  <c r="M26" i="1"/>
  <c r="L26" i="1"/>
  <c r="K26" i="1"/>
  <c r="J26" i="1"/>
  <c r="I26" i="1"/>
  <c r="M25" i="1"/>
  <c r="L25" i="1"/>
  <c r="K25" i="1"/>
  <c r="J25" i="1"/>
  <c r="I25" i="1"/>
  <c r="M24" i="1"/>
  <c r="L24" i="1"/>
  <c r="K24" i="1"/>
  <c r="J24" i="1"/>
  <c r="I24" i="1"/>
  <c r="O24" i="1" s="1"/>
  <c r="M23" i="1"/>
  <c r="L23" i="1"/>
  <c r="K23" i="1"/>
  <c r="J23" i="1"/>
  <c r="I23" i="1"/>
  <c r="M22" i="1"/>
  <c r="L22" i="1"/>
  <c r="K22" i="1"/>
  <c r="J22" i="1"/>
  <c r="I22" i="1"/>
  <c r="M21" i="1"/>
  <c r="L21" i="1"/>
  <c r="K21" i="1"/>
  <c r="J21" i="1"/>
  <c r="I21" i="1"/>
  <c r="M20" i="1"/>
  <c r="L20" i="1"/>
  <c r="K20" i="1"/>
  <c r="J20" i="1"/>
  <c r="I20" i="1"/>
  <c r="M19" i="1"/>
  <c r="L19" i="1"/>
  <c r="K19" i="1"/>
  <c r="J19" i="1"/>
  <c r="I19" i="1"/>
  <c r="M18" i="1"/>
  <c r="L18" i="1"/>
  <c r="K18" i="1"/>
  <c r="J18" i="1"/>
  <c r="I18" i="1"/>
  <c r="O18" i="1" s="1"/>
  <c r="B14" i="8" l="1"/>
  <c r="G14" i="8" s="1"/>
  <c r="B12" i="8"/>
  <c r="G12" i="8" s="1"/>
  <c r="L2" i="5"/>
  <c r="D3" i="5"/>
  <c r="E2" i="5"/>
  <c r="K2" i="5" s="1"/>
  <c r="J132" i="1"/>
  <c r="J145" i="1"/>
  <c r="L145" i="1"/>
  <c r="L132" i="1"/>
  <c r="J36" i="1"/>
  <c r="C145" i="1" s="1"/>
  <c r="K145" i="1"/>
  <c r="K132" i="1"/>
  <c r="K119" i="1"/>
  <c r="L36" i="1"/>
  <c r="K36" i="1"/>
  <c r="M36" i="1"/>
  <c r="I36" i="1"/>
  <c r="F45" i="6"/>
  <c r="T27" i="1"/>
  <c r="N80" i="1" s="1"/>
  <c r="T16" i="1"/>
  <c r="N54" i="1" s="1"/>
  <c r="O35" i="1"/>
  <c r="O27" i="1"/>
  <c r="P27" i="1"/>
  <c r="N20" i="1"/>
  <c r="N22" i="1"/>
  <c r="N19" i="1"/>
  <c r="N21" i="1"/>
  <c r="N29" i="1"/>
  <c r="I27" i="1"/>
  <c r="B80" i="1" s="1"/>
  <c r="M27" i="1"/>
  <c r="F80" i="1" s="1"/>
  <c r="Q27" i="1"/>
  <c r="N24" i="1"/>
  <c r="K27" i="1"/>
  <c r="D93" i="1" s="1"/>
  <c r="L27" i="1"/>
  <c r="J27" i="1"/>
  <c r="R27" i="1"/>
  <c r="N32" i="1"/>
  <c r="N34" i="1"/>
  <c r="N23" i="1"/>
  <c r="N26" i="1"/>
  <c r="N31" i="1"/>
  <c r="N35" i="1"/>
  <c r="N25" i="1"/>
  <c r="N33" i="1"/>
  <c r="N18" i="1"/>
  <c r="N30" i="1"/>
  <c r="G1" i="9" l="1"/>
  <c r="A11" i="8"/>
  <c r="G11" i="8" s="1"/>
  <c r="G2" i="1"/>
  <c r="J2" i="6"/>
  <c r="J2" i="7"/>
  <c r="K1" i="9"/>
  <c r="K2" i="1"/>
  <c r="D4" i="5"/>
  <c r="J3" i="5"/>
  <c r="I3" i="5"/>
  <c r="F3" i="5"/>
  <c r="G3" i="5"/>
  <c r="H3" i="5"/>
  <c r="L3" i="5" s="1"/>
  <c r="E3" i="5"/>
  <c r="K3" i="5" s="1"/>
  <c r="O36" i="1"/>
  <c r="I119" i="1" s="1"/>
  <c r="C132" i="1"/>
  <c r="C119" i="1"/>
  <c r="F145" i="1"/>
  <c r="F132" i="1"/>
  <c r="F119" i="1"/>
  <c r="B145" i="1"/>
  <c r="B132" i="1"/>
  <c r="B119" i="1"/>
  <c r="E145" i="1"/>
  <c r="E132" i="1"/>
  <c r="E119" i="1"/>
  <c r="D145" i="1"/>
  <c r="D132" i="1"/>
  <c r="D119" i="1"/>
  <c r="N36" i="1"/>
  <c r="N93" i="1"/>
  <c r="N106" i="1"/>
  <c r="N41" i="1"/>
  <c r="N67" i="1"/>
  <c r="J93" i="1"/>
  <c r="J106" i="1"/>
  <c r="J80" i="1"/>
  <c r="K80" i="1"/>
  <c r="K106" i="1"/>
  <c r="K93" i="1"/>
  <c r="L106" i="1"/>
  <c r="L93" i="1"/>
  <c r="L80" i="1"/>
  <c r="I106" i="1"/>
  <c r="I80" i="1"/>
  <c r="I93" i="1"/>
  <c r="B93" i="1"/>
  <c r="F93" i="1"/>
  <c r="B106" i="1"/>
  <c r="F106" i="1"/>
  <c r="D106" i="1"/>
  <c r="N27" i="1"/>
  <c r="X27" i="1" s="1"/>
  <c r="D80" i="1"/>
  <c r="C106" i="1"/>
  <c r="C93" i="1"/>
  <c r="C80" i="1"/>
  <c r="E93" i="1"/>
  <c r="E80" i="1"/>
  <c r="E106" i="1"/>
  <c r="D5" i="5" l="1"/>
  <c r="J4" i="5"/>
  <c r="I4" i="5"/>
  <c r="F4" i="5"/>
  <c r="G4" i="5"/>
  <c r="H4" i="5"/>
  <c r="L4" i="5" s="1"/>
  <c r="E4" i="5"/>
  <c r="K4" i="5" s="1"/>
  <c r="I132" i="1"/>
  <c r="I145" i="1"/>
  <c r="H145" i="1"/>
  <c r="H119" i="1"/>
  <c r="Z36" i="1"/>
  <c r="X36" i="1"/>
  <c r="U36" i="1"/>
  <c r="H132" i="1"/>
  <c r="U27" i="1"/>
  <c r="Z27" i="1"/>
  <c r="AC26" i="1" s="1"/>
  <c r="H80" i="1"/>
  <c r="H106" i="1"/>
  <c r="H93" i="1"/>
  <c r="R16" i="1"/>
  <c r="M15" i="1"/>
  <c r="L15" i="1"/>
  <c r="K15" i="1"/>
  <c r="J15" i="1"/>
  <c r="I15" i="1"/>
  <c r="M14" i="1"/>
  <c r="L14" i="1"/>
  <c r="K14" i="1"/>
  <c r="J14" i="1"/>
  <c r="I14" i="1"/>
  <c r="M13" i="1"/>
  <c r="L13" i="1"/>
  <c r="K13" i="1"/>
  <c r="J13" i="1"/>
  <c r="I13" i="1"/>
  <c r="O13" i="1" s="1"/>
  <c r="M12" i="1"/>
  <c r="L12" i="1"/>
  <c r="K12" i="1"/>
  <c r="J12" i="1"/>
  <c r="I12" i="1"/>
  <c r="M11" i="1"/>
  <c r="L11" i="1"/>
  <c r="K11" i="1"/>
  <c r="J11" i="1"/>
  <c r="I11" i="1"/>
  <c r="M10" i="1"/>
  <c r="L10" i="1"/>
  <c r="K10" i="1"/>
  <c r="J10" i="1"/>
  <c r="I10" i="1"/>
  <c r="M9" i="1"/>
  <c r="L9" i="1"/>
  <c r="K9" i="1"/>
  <c r="J9" i="1"/>
  <c r="I9" i="1"/>
  <c r="M8" i="1"/>
  <c r="L8" i="1"/>
  <c r="K8" i="1"/>
  <c r="J8" i="1"/>
  <c r="I8" i="1"/>
  <c r="M7" i="1"/>
  <c r="L7" i="1"/>
  <c r="K7" i="1"/>
  <c r="J7" i="1"/>
  <c r="I7" i="1"/>
  <c r="O7" i="1" s="1"/>
  <c r="L6" i="1"/>
  <c r="M6" i="1"/>
  <c r="K6" i="1"/>
  <c r="J6" i="1"/>
  <c r="I6" i="1"/>
  <c r="O6" i="1" s="1"/>
  <c r="D6" i="5" l="1"/>
  <c r="E5" i="5"/>
  <c r="K5" i="5" s="1"/>
  <c r="H5" i="5"/>
  <c r="L5" i="5" s="1"/>
  <c r="J5" i="5"/>
  <c r="I5" i="5"/>
  <c r="F5" i="5"/>
  <c r="G5" i="5"/>
  <c r="O119" i="1"/>
  <c r="O132" i="1"/>
  <c r="O145" i="1"/>
  <c r="T119" i="1"/>
  <c r="AC35" i="1"/>
  <c r="T132" i="1"/>
  <c r="T145" i="1"/>
  <c r="AC36" i="1"/>
  <c r="R145" i="1"/>
  <c r="R119" i="1"/>
  <c r="R132" i="1"/>
  <c r="V36" i="1"/>
  <c r="AB36" i="1" s="1"/>
  <c r="O106" i="1"/>
  <c r="O93" i="1"/>
  <c r="O80" i="1"/>
  <c r="T106" i="1"/>
  <c r="T93" i="1"/>
  <c r="T80" i="1"/>
  <c r="AC27" i="1"/>
  <c r="V27" i="1"/>
  <c r="R93" i="1"/>
  <c r="R106" i="1"/>
  <c r="R80" i="1"/>
  <c r="L41" i="1"/>
  <c r="L67" i="1"/>
  <c r="L54" i="1"/>
  <c r="O16" i="1"/>
  <c r="M16" i="1"/>
  <c r="F54" i="1" s="1"/>
  <c r="N9" i="1"/>
  <c r="N13" i="1"/>
  <c r="P16" i="1"/>
  <c r="N15" i="1"/>
  <c r="J16" i="1"/>
  <c r="C54" i="1" s="1"/>
  <c r="N6" i="1"/>
  <c r="I16" i="1"/>
  <c r="L16" i="1"/>
  <c r="E54" i="1" s="1"/>
  <c r="N11" i="1"/>
  <c r="N10" i="1"/>
  <c r="N14" i="1"/>
  <c r="K16" i="1"/>
  <c r="D54" i="1" s="1"/>
  <c r="N8" i="1"/>
  <c r="N12" i="1"/>
  <c r="Q16" i="1"/>
  <c r="N7" i="1"/>
  <c r="D7" i="5" l="1"/>
  <c r="E6" i="5"/>
  <c r="K6" i="5" s="1"/>
  <c r="J6" i="5"/>
  <c r="I6" i="5"/>
  <c r="H6" i="5"/>
  <c r="L6" i="5" s="1"/>
  <c r="F6" i="5"/>
  <c r="G6" i="5"/>
  <c r="V132" i="1"/>
  <c r="V145" i="1"/>
  <c r="V119" i="1"/>
  <c r="AB35" i="1"/>
  <c r="P132" i="1"/>
  <c r="AA35" i="1"/>
  <c r="P145" i="1"/>
  <c r="P119" i="1"/>
  <c r="AA36" i="1"/>
  <c r="AD36" i="1" s="1"/>
  <c r="AE36" i="1" s="1"/>
  <c r="W119" i="1"/>
  <c r="W145" i="1"/>
  <c r="W132" i="1"/>
  <c r="AA26" i="1"/>
  <c r="AB26" i="1"/>
  <c r="AB27" i="1"/>
  <c r="P93" i="1"/>
  <c r="AA27" i="1"/>
  <c r="P80" i="1"/>
  <c r="P106" i="1"/>
  <c r="W106" i="1"/>
  <c r="W80" i="1"/>
  <c r="W93" i="1"/>
  <c r="N16" i="1"/>
  <c r="X16" i="1" s="1"/>
  <c r="B54" i="1"/>
  <c r="K54" i="1"/>
  <c r="K41" i="1"/>
  <c r="K67" i="1"/>
  <c r="I67" i="1"/>
  <c r="I54" i="1"/>
  <c r="I41" i="1"/>
  <c r="J67" i="1"/>
  <c r="J54" i="1"/>
  <c r="J41" i="1"/>
  <c r="F41" i="1"/>
  <c r="F67" i="1"/>
  <c r="C41" i="1"/>
  <c r="C67" i="1"/>
  <c r="D41" i="1"/>
  <c r="D67" i="1"/>
  <c r="B67" i="1"/>
  <c r="E41" i="1"/>
  <c r="E67" i="1"/>
  <c r="B41" i="1"/>
  <c r="D8" i="5" l="1"/>
  <c r="J7" i="5"/>
  <c r="I7" i="5"/>
  <c r="H7" i="5"/>
  <c r="L7" i="5" s="1"/>
  <c r="F7" i="5"/>
  <c r="G7" i="5"/>
  <c r="E7" i="5"/>
  <c r="K7" i="5" s="1"/>
  <c r="X132" i="1"/>
  <c r="X145" i="1"/>
  <c r="X119" i="1"/>
  <c r="U119" i="1"/>
  <c r="U132" i="1"/>
  <c r="U145" i="1"/>
  <c r="AD27" i="1"/>
  <c r="V93" i="1"/>
  <c r="V80" i="1"/>
  <c r="V106" i="1"/>
  <c r="U80" i="1"/>
  <c r="U93" i="1"/>
  <c r="U106" i="1"/>
  <c r="Z16" i="1"/>
  <c r="U16" i="1"/>
  <c r="A119" i="1"/>
  <c r="A145" i="1"/>
  <c r="A132" i="1"/>
  <c r="A80" i="1"/>
  <c r="A93" i="1"/>
  <c r="A106" i="1"/>
  <c r="H54" i="1"/>
  <c r="H41" i="1"/>
  <c r="H67" i="1"/>
  <c r="X80" i="1" l="1"/>
  <c r="AE27" i="1"/>
  <c r="Y106" i="1" s="1"/>
  <c r="F107" i="1" s="1"/>
  <c r="F108" i="1" s="1"/>
  <c r="F109" i="1" s="1"/>
  <c r="D9" i="5"/>
  <c r="F8" i="5"/>
  <c r="J8" i="5"/>
  <c r="I8" i="5"/>
  <c r="H8" i="5"/>
  <c r="L8" i="5" s="1"/>
  <c r="G8" i="5"/>
  <c r="E8" i="5"/>
  <c r="K8" i="5" s="1"/>
  <c r="Y132" i="1"/>
  <c r="F133" i="1" s="1"/>
  <c r="F134" i="1" s="1"/>
  <c r="F135" i="1" s="1"/>
  <c r="Y145" i="1"/>
  <c r="F146" i="1" s="1"/>
  <c r="F147" i="1" s="1"/>
  <c r="F148" i="1" s="1"/>
  <c r="Y119" i="1"/>
  <c r="F120" i="1" s="1"/>
  <c r="F121" i="1" s="1"/>
  <c r="F122" i="1" s="1"/>
  <c r="X93" i="1"/>
  <c r="X106" i="1"/>
  <c r="AC15" i="1"/>
  <c r="T67" i="1"/>
  <c r="T54" i="1"/>
  <c r="T41" i="1"/>
  <c r="AC16" i="1"/>
  <c r="O67" i="1"/>
  <c r="O54" i="1"/>
  <c r="O41" i="1"/>
  <c r="V16" i="1"/>
  <c r="R67" i="1"/>
  <c r="R41" i="1"/>
  <c r="R54" i="1"/>
  <c r="D10" i="5" l="1"/>
  <c r="E9" i="5"/>
  <c r="K9" i="5" s="1"/>
  <c r="I9" i="5"/>
  <c r="H9" i="5"/>
  <c r="L9" i="5" s="1"/>
  <c r="J9" i="5"/>
  <c r="F9" i="5"/>
  <c r="G9" i="5"/>
  <c r="F110" i="1"/>
  <c r="F111" i="1" s="1"/>
  <c r="A107" i="1" s="1"/>
  <c r="F123" i="1"/>
  <c r="F124" i="1" s="1"/>
  <c r="A120" i="1" s="1"/>
  <c r="F136" i="1"/>
  <c r="F137" i="1" s="1"/>
  <c r="F149" i="1"/>
  <c r="F150" i="1" s="1"/>
  <c r="A146" i="1" s="1"/>
  <c r="AB15" i="1"/>
  <c r="Y80" i="1"/>
  <c r="F81" i="1" s="1"/>
  <c r="F82" i="1" s="1"/>
  <c r="F83" i="1" s="1"/>
  <c r="Y93" i="1"/>
  <c r="F94" i="1" s="1"/>
  <c r="F95" i="1" s="1"/>
  <c r="F96" i="1" s="1"/>
  <c r="AA15" i="1"/>
  <c r="W41" i="1"/>
  <c r="W54" i="1"/>
  <c r="W67" i="1"/>
  <c r="AB16" i="1"/>
  <c r="AA16" i="1"/>
  <c r="P41" i="1"/>
  <c r="P54" i="1"/>
  <c r="P67" i="1"/>
  <c r="A133" i="1" l="1"/>
  <c r="D41" i="6" s="1"/>
  <c r="D11" i="5"/>
  <c r="E10" i="5"/>
  <c r="K10" i="5" s="1"/>
  <c r="J10" i="5"/>
  <c r="I10" i="5"/>
  <c r="H10" i="5"/>
  <c r="L10" i="5" s="1"/>
  <c r="F10" i="5"/>
  <c r="G10" i="5"/>
  <c r="AD16" i="1"/>
  <c r="F84" i="1"/>
  <c r="F85" i="1" s="1"/>
  <c r="A81" i="1" s="1"/>
  <c r="F97" i="1"/>
  <c r="F98" i="1" s="1"/>
  <c r="U41" i="1"/>
  <c r="U54" i="1"/>
  <c r="U67" i="1"/>
  <c r="V41" i="1"/>
  <c r="V54" i="1"/>
  <c r="V67" i="1"/>
  <c r="A41" i="1"/>
  <c r="A54" i="1"/>
  <c r="A67" i="1"/>
  <c r="X67" i="1" l="1"/>
  <c r="AE16" i="1"/>
  <c r="Y41" i="1" s="1"/>
  <c r="F42" i="1" s="1"/>
  <c r="F43" i="1" s="1"/>
  <c r="F44" i="1" s="1"/>
  <c r="E2" i="7"/>
  <c r="E1" i="9"/>
  <c r="A94" i="1"/>
  <c r="D40" i="6" s="1"/>
  <c r="D1" i="9" s="1"/>
  <c r="D12" i="5"/>
  <c r="I11" i="5"/>
  <c r="J11" i="5"/>
  <c r="F11" i="5"/>
  <c r="G11" i="5"/>
  <c r="H11" i="5"/>
  <c r="L11" i="5" s="1"/>
  <c r="E11" i="5"/>
  <c r="K11" i="5" s="1"/>
  <c r="E2" i="1"/>
  <c r="E2" i="6"/>
  <c r="X41" i="1"/>
  <c r="X54" i="1"/>
  <c r="D13" i="5" l="1"/>
  <c r="F12" i="5"/>
  <c r="J12" i="5"/>
  <c r="G12" i="5"/>
  <c r="H12" i="5"/>
  <c r="L12" i="5" s="1"/>
  <c r="E12" i="5"/>
  <c r="K12" i="5" s="1"/>
  <c r="I12" i="5"/>
  <c r="D2" i="7"/>
  <c r="D2" i="1"/>
  <c r="D2" i="6"/>
  <c r="F45" i="1"/>
  <c r="F46" i="1" s="1"/>
  <c r="A42" i="1" s="1"/>
  <c r="Y67" i="1"/>
  <c r="F68" i="1" s="1"/>
  <c r="F69" i="1" s="1"/>
  <c r="F70" i="1" s="1"/>
  <c r="Y54" i="1"/>
  <c r="F55" i="1" s="1"/>
  <c r="F56" i="1" s="1"/>
  <c r="F57" i="1" s="1"/>
  <c r="D14" i="5" l="1"/>
  <c r="J13" i="5"/>
  <c r="I13" i="5"/>
  <c r="E13" i="5"/>
  <c r="K13" i="5" s="1"/>
  <c r="H13" i="5"/>
  <c r="L13" i="5" s="1"/>
  <c r="F13" i="5"/>
  <c r="G13" i="5"/>
  <c r="F71" i="1"/>
  <c r="F72" i="1" s="1"/>
  <c r="A68" i="1" s="1"/>
  <c r="F58" i="1"/>
  <c r="F59" i="1" s="1"/>
  <c r="A55" i="1" s="1"/>
  <c r="D39" i="6" l="1"/>
  <c r="K2" i="6" s="1"/>
  <c r="D15" i="5"/>
  <c r="E14" i="5"/>
  <c r="K14" i="5" s="1"/>
  <c r="J14" i="5"/>
  <c r="I14" i="5"/>
  <c r="H14" i="5"/>
  <c r="L14" i="5" s="1"/>
  <c r="F14" i="5"/>
  <c r="G14" i="5"/>
  <c r="C2" i="7" l="1"/>
  <c r="C1" i="9"/>
  <c r="D16" i="5"/>
  <c r="F15" i="5"/>
  <c r="G15" i="5"/>
  <c r="J15" i="5"/>
  <c r="I15" i="5"/>
  <c r="E15" i="5"/>
  <c r="K15" i="5" s="1"/>
  <c r="H15" i="5"/>
  <c r="L15" i="5" s="1"/>
  <c r="D42" i="6"/>
  <c r="C2" i="6"/>
  <c r="C2" i="1"/>
  <c r="J43" i="6" l="1"/>
  <c r="K43" i="6" s="1"/>
  <c r="D17" i="5"/>
  <c r="F16" i="5"/>
  <c r="G16" i="5"/>
  <c r="J16" i="5"/>
  <c r="I16" i="5"/>
  <c r="H16" i="5"/>
  <c r="L16" i="5" s="1"/>
  <c r="E16" i="5"/>
  <c r="K16" i="5" s="1"/>
  <c r="L43" i="6" l="1"/>
  <c r="D18" i="5"/>
  <c r="I17" i="5"/>
  <c r="H17" i="5"/>
  <c r="L17" i="5" s="1"/>
  <c r="J17" i="5"/>
  <c r="E17" i="5"/>
  <c r="K17" i="5" s="1"/>
  <c r="F17" i="5"/>
  <c r="G17" i="5"/>
  <c r="M43" i="6" l="1"/>
  <c r="I43" i="6" s="1"/>
  <c r="F43" i="6" s="1"/>
  <c r="D19" i="5"/>
  <c r="E18" i="5"/>
  <c r="K18" i="5" s="1"/>
  <c r="I18" i="5"/>
  <c r="J18" i="5"/>
  <c r="H18" i="5"/>
  <c r="L18" i="5" s="1"/>
  <c r="F18" i="5"/>
  <c r="G18" i="5"/>
  <c r="B17" i="8" l="1"/>
  <c r="B4" i="10"/>
  <c r="F2" i="6"/>
  <c r="D20" i="5"/>
  <c r="J19" i="5"/>
  <c r="F19" i="5"/>
  <c r="G19" i="5"/>
  <c r="H19" i="5"/>
  <c r="L19" i="5" s="1"/>
  <c r="I19" i="5"/>
  <c r="E19" i="5"/>
  <c r="K19" i="5" s="1"/>
  <c r="F1" i="9" l="1"/>
  <c r="F2" i="7"/>
  <c r="F2" i="1"/>
  <c r="D21" i="5"/>
  <c r="F20" i="5"/>
  <c r="I20" i="5"/>
  <c r="J20" i="5"/>
  <c r="G20" i="5"/>
  <c r="E20" i="5"/>
  <c r="K20" i="5" s="1"/>
  <c r="H20" i="5"/>
  <c r="L20" i="5" s="1"/>
  <c r="D22" i="5" l="1"/>
  <c r="I21" i="5"/>
  <c r="E21" i="5"/>
  <c r="K21" i="5" s="1"/>
  <c r="H21" i="5"/>
  <c r="L21" i="5" s="1"/>
  <c r="J21" i="5"/>
  <c r="F21" i="5"/>
  <c r="G21" i="5"/>
  <c r="D23" i="5" l="1"/>
  <c r="E22" i="5"/>
  <c r="K22" i="5" s="1"/>
  <c r="J22" i="5"/>
  <c r="I22" i="5"/>
  <c r="F22" i="5"/>
  <c r="G22" i="5"/>
  <c r="H22" i="5"/>
  <c r="L22" i="5" s="1"/>
  <c r="D24" i="5" l="1"/>
  <c r="I23" i="5"/>
  <c r="J23" i="5"/>
  <c r="F23" i="5"/>
  <c r="G23" i="5"/>
  <c r="H23" i="5"/>
  <c r="L23" i="5" s="1"/>
  <c r="E23" i="5"/>
  <c r="K23" i="5" s="1"/>
  <c r="D25" i="5" l="1"/>
  <c r="F24" i="5"/>
  <c r="J24" i="5"/>
  <c r="I24" i="5"/>
  <c r="G24" i="5"/>
  <c r="H24" i="5"/>
  <c r="L24" i="5" s="1"/>
  <c r="E24" i="5"/>
  <c r="K24" i="5" s="1"/>
  <c r="D26" i="5" l="1"/>
  <c r="E25" i="5"/>
  <c r="K25" i="5" s="1"/>
  <c r="I25" i="5"/>
  <c r="H25" i="5"/>
  <c r="L25" i="5" s="1"/>
  <c r="J25" i="5"/>
  <c r="F25" i="5"/>
  <c r="G25" i="5"/>
  <c r="D27" i="5" l="1"/>
  <c r="E26" i="5"/>
  <c r="K26" i="5" s="1"/>
  <c r="H26" i="5"/>
  <c r="L26" i="5" s="1"/>
  <c r="J26" i="5"/>
  <c r="I26" i="5"/>
  <c r="F26" i="5"/>
  <c r="G26" i="5"/>
  <c r="D28" i="5" l="1"/>
  <c r="J27" i="5"/>
  <c r="F27" i="5"/>
  <c r="G27" i="5"/>
  <c r="I27" i="5"/>
  <c r="H27" i="5"/>
  <c r="L27" i="5" s="1"/>
  <c r="E27" i="5"/>
  <c r="K27" i="5" s="1"/>
  <c r="D29" i="5" l="1"/>
  <c r="F28" i="5"/>
  <c r="J28" i="5"/>
  <c r="G28" i="5"/>
  <c r="E28" i="5"/>
  <c r="K28" i="5" s="1"/>
  <c r="I28" i="5"/>
  <c r="H28" i="5"/>
  <c r="L28" i="5" s="1"/>
  <c r="D30" i="5" l="1"/>
  <c r="J29" i="5"/>
  <c r="I29" i="5"/>
  <c r="E29" i="5"/>
  <c r="K29" i="5" s="1"/>
  <c r="H29" i="5"/>
  <c r="L29" i="5" s="1"/>
  <c r="F29" i="5"/>
  <c r="G29" i="5"/>
  <c r="D31" i="5" l="1"/>
  <c r="E30" i="5"/>
  <c r="K30" i="5" s="1"/>
  <c r="H30" i="5"/>
  <c r="L30" i="5" s="1"/>
  <c r="J30" i="5"/>
  <c r="I30" i="5"/>
  <c r="F30" i="5"/>
  <c r="G30" i="5"/>
  <c r="D32" i="5" l="1"/>
  <c r="I31" i="5"/>
  <c r="F31" i="5"/>
  <c r="G31" i="5"/>
  <c r="J31" i="5"/>
  <c r="H31" i="5"/>
  <c r="L31" i="5" s="1"/>
  <c r="E31" i="5"/>
  <c r="K31" i="5" s="1"/>
  <c r="D33" i="5" l="1"/>
  <c r="F32" i="5"/>
  <c r="G32" i="5"/>
  <c r="J32" i="5"/>
  <c r="I32" i="5"/>
  <c r="E32" i="5"/>
  <c r="K32" i="5" s="1"/>
  <c r="H32" i="5"/>
  <c r="L32" i="5" s="1"/>
  <c r="D34" i="5" l="1"/>
  <c r="H33" i="5"/>
  <c r="L33" i="5" s="1"/>
  <c r="J33" i="5"/>
  <c r="I33" i="5"/>
  <c r="E33" i="5"/>
  <c r="K33" i="5" s="1"/>
  <c r="F33" i="5"/>
  <c r="G33" i="5"/>
  <c r="D35" i="5" l="1"/>
  <c r="E34" i="5"/>
  <c r="K34" i="5" s="1"/>
  <c r="I34" i="5"/>
  <c r="J34" i="5"/>
  <c r="F34" i="5"/>
  <c r="G34" i="5"/>
  <c r="H34" i="5"/>
  <c r="L34" i="5" s="1"/>
  <c r="D36" i="5" l="1"/>
  <c r="J35" i="5"/>
  <c r="F35" i="5"/>
  <c r="G35" i="5"/>
  <c r="I35" i="5"/>
  <c r="H35" i="5"/>
  <c r="L35" i="5" s="1"/>
  <c r="E35" i="5"/>
  <c r="K35" i="5" s="1"/>
  <c r="D37" i="5" l="1"/>
  <c r="F36" i="5"/>
  <c r="I36" i="5"/>
  <c r="H36" i="5"/>
  <c r="L36" i="5" s="1"/>
  <c r="J36" i="5"/>
  <c r="G36" i="5"/>
  <c r="E36" i="5"/>
  <c r="K36" i="5" s="1"/>
  <c r="D38" i="5" l="1"/>
  <c r="E37" i="5"/>
  <c r="K37" i="5" s="1"/>
  <c r="H37" i="5"/>
  <c r="L37" i="5" s="1"/>
  <c r="J37" i="5"/>
  <c r="I37" i="5"/>
  <c r="F37" i="5"/>
  <c r="G37" i="5"/>
  <c r="D39" i="5" l="1"/>
  <c r="E38" i="5"/>
  <c r="K38" i="5" s="1"/>
  <c r="I38" i="5"/>
  <c r="J38" i="5"/>
  <c r="F38" i="5"/>
  <c r="G38" i="5"/>
  <c r="H38" i="5"/>
  <c r="L38" i="5" s="1"/>
  <c r="D40" i="5" l="1"/>
  <c r="J39" i="5"/>
  <c r="I39" i="5"/>
  <c r="F39" i="5"/>
  <c r="G39" i="5"/>
  <c r="E39" i="5"/>
  <c r="K39" i="5" s="1"/>
  <c r="H39" i="5"/>
  <c r="L39" i="5" s="1"/>
  <c r="D41" i="5" l="1"/>
  <c r="F40" i="5"/>
  <c r="I40" i="5"/>
  <c r="H40" i="5"/>
  <c r="L40" i="5" s="1"/>
  <c r="J40" i="5"/>
  <c r="G40" i="5"/>
  <c r="E40" i="5"/>
  <c r="K40" i="5" s="1"/>
  <c r="D42" i="5" l="1"/>
  <c r="E41" i="5"/>
  <c r="K41" i="5" s="1"/>
  <c r="I41" i="5"/>
  <c r="H41" i="5"/>
  <c r="L41" i="5" s="1"/>
  <c r="J41" i="5"/>
  <c r="F41" i="5"/>
  <c r="G41" i="5"/>
  <c r="D43" i="5" l="1"/>
  <c r="E42" i="5"/>
  <c r="K42" i="5" s="1"/>
  <c r="J42" i="5"/>
  <c r="I42" i="5"/>
  <c r="H42" i="5"/>
  <c r="L42" i="5" s="1"/>
  <c r="F42" i="5"/>
  <c r="G42" i="5"/>
  <c r="D44" i="5" l="1"/>
  <c r="I43" i="5"/>
  <c r="J43" i="5"/>
  <c r="F43" i="5"/>
  <c r="G43" i="5"/>
  <c r="H43" i="5"/>
  <c r="L43" i="5" s="1"/>
  <c r="E43" i="5"/>
  <c r="K43" i="5" s="1"/>
  <c r="D45" i="5" l="1"/>
  <c r="F44" i="5"/>
  <c r="G44" i="5"/>
  <c r="E44" i="5"/>
  <c r="K44" i="5" s="1"/>
  <c r="I44" i="5"/>
  <c r="J44" i="5"/>
  <c r="H44" i="5"/>
  <c r="L44" i="5" s="1"/>
  <c r="D46" i="5" l="1"/>
  <c r="J45" i="5"/>
  <c r="I45" i="5"/>
  <c r="E45" i="5"/>
  <c r="K45" i="5" s="1"/>
  <c r="H45" i="5"/>
  <c r="L45" i="5" s="1"/>
  <c r="F45" i="5"/>
  <c r="G45" i="5"/>
  <c r="D47" i="5" l="1"/>
  <c r="E46" i="5"/>
  <c r="K46" i="5" s="1"/>
  <c r="J46" i="5"/>
  <c r="I46" i="5"/>
  <c r="H46" i="5"/>
  <c r="L46" i="5" s="1"/>
  <c r="F46" i="5"/>
  <c r="G46" i="5"/>
  <c r="D48" i="5" l="1"/>
  <c r="F47" i="5"/>
  <c r="G47" i="5"/>
  <c r="J47" i="5"/>
  <c r="I47" i="5"/>
  <c r="E47" i="5"/>
  <c r="K47" i="5" s="1"/>
  <c r="H47" i="5"/>
  <c r="L47" i="5" s="1"/>
  <c r="D49" i="5" l="1"/>
  <c r="F48" i="5"/>
  <c r="G48" i="5"/>
  <c r="J48" i="5"/>
  <c r="I48" i="5"/>
  <c r="H48" i="5"/>
  <c r="L48" i="5" s="1"/>
  <c r="E48" i="5"/>
  <c r="K48" i="5" s="1"/>
  <c r="D50" i="5" l="1"/>
  <c r="H49" i="5"/>
  <c r="L49" i="5" s="1"/>
  <c r="J49" i="5"/>
  <c r="E49" i="5"/>
  <c r="K49" i="5" s="1"/>
  <c r="I49" i="5"/>
  <c r="F49" i="5"/>
  <c r="G49" i="5"/>
  <c r="D51" i="5" l="1"/>
  <c r="E50" i="5"/>
  <c r="K50" i="5"/>
  <c r="I50" i="5"/>
  <c r="H50" i="5"/>
  <c r="L50" i="5" s="1"/>
  <c r="J50" i="5"/>
  <c r="F50" i="5"/>
  <c r="G50" i="5"/>
  <c r="D52" i="5" l="1"/>
  <c r="J51" i="5"/>
  <c r="I51" i="5"/>
  <c r="F51" i="5"/>
  <c r="G51" i="5"/>
  <c r="H51" i="5"/>
  <c r="L51" i="5" s="1"/>
  <c r="E51" i="5"/>
  <c r="K51" i="5" s="1"/>
  <c r="D53" i="5" l="1"/>
  <c r="F52" i="5"/>
  <c r="J52" i="5"/>
  <c r="I52" i="5"/>
  <c r="H52" i="5"/>
  <c r="L52" i="5" s="1"/>
  <c r="G52" i="5"/>
  <c r="E52" i="5"/>
  <c r="K52" i="5" s="1"/>
  <c r="D54" i="5" l="1"/>
  <c r="I53" i="5"/>
  <c r="E53" i="5"/>
  <c r="K53" i="5" s="1"/>
  <c r="H53" i="5"/>
  <c r="L53" i="5" s="1"/>
  <c r="J53" i="5"/>
  <c r="F53" i="5"/>
  <c r="G53" i="5"/>
  <c r="D55" i="5" l="1"/>
  <c r="E54" i="5"/>
  <c r="K54" i="5" s="1"/>
  <c r="J54" i="5"/>
  <c r="I54" i="5"/>
  <c r="F54" i="5"/>
  <c r="G54" i="5"/>
  <c r="H54" i="5"/>
  <c r="L54" i="5" s="1"/>
  <c r="D56" i="5" l="1"/>
  <c r="I55" i="5"/>
  <c r="J55" i="5"/>
  <c r="F55" i="5"/>
  <c r="G55" i="5"/>
  <c r="H55" i="5"/>
  <c r="L55" i="5" s="1"/>
  <c r="E55" i="5"/>
  <c r="K55" i="5" s="1"/>
  <c r="D57" i="5" l="1"/>
  <c r="F56" i="5"/>
  <c r="K56" i="5" s="1"/>
  <c r="I56" i="5"/>
  <c r="L56" i="5" s="1"/>
  <c r="G56" i="5"/>
  <c r="J56" i="5"/>
  <c r="H56" i="5"/>
  <c r="E56" i="5"/>
  <c r="D58" i="5" l="1"/>
  <c r="E57" i="5"/>
  <c r="H57" i="5"/>
  <c r="J57" i="5"/>
  <c r="I57" i="5"/>
  <c r="L57" i="5" s="1"/>
  <c r="F57" i="5"/>
  <c r="K57" i="5" s="1"/>
  <c r="G57" i="5"/>
  <c r="D59" i="5" l="1"/>
  <c r="E58" i="5"/>
  <c r="F58" i="5"/>
  <c r="K58" i="5" s="1"/>
  <c r="I58" i="5"/>
  <c r="L58" i="5" s="1"/>
  <c r="J58" i="5"/>
  <c r="H58" i="5"/>
  <c r="G58" i="5"/>
  <c r="D60" i="5" l="1"/>
  <c r="J59" i="5"/>
  <c r="I59" i="5"/>
  <c r="L59" i="5" s="1"/>
  <c r="F59" i="5"/>
  <c r="K59" i="5" s="1"/>
  <c r="G59" i="5"/>
  <c r="H59" i="5"/>
  <c r="E59" i="5"/>
  <c r="D61" i="5" l="1"/>
  <c r="F60" i="5"/>
  <c r="K60" i="5" s="1"/>
  <c r="J60" i="5"/>
  <c r="G60" i="5"/>
  <c r="E60" i="5"/>
  <c r="I60" i="5"/>
  <c r="L60" i="5" s="1"/>
  <c r="H60" i="5"/>
  <c r="D62" i="5" l="1"/>
  <c r="J61" i="5"/>
  <c r="I61" i="5"/>
  <c r="L61" i="5" s="1"/>
  <c r="E61" i="5"/>
  <c r="H61" i="5"/>
  <c r="F61" i="5"/>
  <c r="K61" i="5" s="1"/>
  <c r="G61" i="5"/>
  <c r="D63" i="5" l="1"/>
  <c r="E62" i="5"/>
  <c r="H62" i="5"/>
  <c r="J62" i="5"/>
  <c r="L62" i="5" s="1"/>
  <c r="I62" i="5"/>
  <c r="G62" i="5"/>
  <c r="K62" i="5" s="1"/>
  <c r="F62" i="5"/>
  <c r="D64" i="5" l="1"/>
  <c r="I63" i="5"/>
  <c r="F63" i="5"/>
  <c r="G63" i="5"/>
  <c r="K63" i="5" s="1"/>
  <c r="J63" i="5"/>
  <c r="L63" i="5" s="1"/>
  <c r="H63" i="5"/>
  <c r="E63" i="5"/>
  <c r="D65" i="5" l="1"/>
  <c r="F64" i="5"/>
  <c r="G64" i="5"/>
  <c r="K64" i="5" s="1"/>
  <c r="J64" i="5"/>
  <c r="L64" i="5" s="1"/>
  <c r="I64" i="5"/>
  <c r="H64" i="5"/>
  <c r="E64" i="5"/>
  <c r="D66" i="5" l="1"/>
  <c r="I65" i="5"/>
  <c r="H65" i="5"/>
  <c r="J65" i="5"/>
  <c r="L65" i="5" s="1"/>
  <c r="E65" i="5"/>
  <c r="F65" i="5"/>
  <c r="G65" i="5"/>
  <c r="K65" i="5" s="1"/>
  <c r="D67" i="5" l="1"/>
  <c r="E66" i="5"/>
  <c r="I66" i="5"/>
  <c r="J66" i="5"/>
  <c r="L66" i="5" s="1"/>
  <c r="F66" i="5"/>
  <c r="H66" i="5"/>
  <c r="G66" i="5"/>
  <c r="K66" i="5" s="1"/>
  <c r="D68" i="5" l="1"/>
  <c r="J67" i="5"/>
  <c r="L67" i="5" s="1"/>
  <c r="F67" i="5"/>
  <c r="G67" i="5"/>
  <c r="K67" i="5" s="1"/>
  <c r="I67" i="5"/>
  <c r="H67" i="5"/>
  <c r="E67" i="5"/>
  <c r="D69" i="5" l="1"/>
  <c r="F68" i="5"/>
  <c r="I68" i="5"/>
  <c r="J68" i="5"/>
  <c r="L68" i="5" s="1"/>
  <c r="G68" i="5"/>
  <c r="K68" i="5" s="1"/>
  <c r="E68" i="5"/>
  <c r="H68" i="5"/>
  <c r="D70" i="5" l="1"/>
  <c r="E69" i="5"/>
  <c r="H69" i="5"/>
  <c r="J69" i="5"/>
  <c r="L69" i="5" s="1"/>
  <c r="I69" i="5"/>
  <c r="F69" i="5"/>
  <c r="G69" i="5"/>
  <c r="K69" i="5" s="1"/>
  <c r="D71" i="5" l="1"/>
  <c r="E70" i="5"/>
  <c r="I70" i="5"/>
  <c r="J70" i="5"/>
  <c r="L70" i="5" s="1"/>
  <c r="H70" i="5"/>
  <c r="G70" i="5"/>
  <c r="K70" i="5" s="1"/>
  <c r="F70" i="5"/>
  <c r="D72" i="5" l="1"/>
  <c r="J71" i="5"/>
  <c r="L71" i="5" s="1"/>
  <c r="I71" i="5"/>
  <c r="F71" i="5"/>
  <c r="G71" i="5"/>
  <c r="K71" i="5" s="1"/>
  <c r="E71" i="5"/>
  <c r="H71" i="5"/>
  <c r="D73" i="5" l="1"/>
  <c r="F72" i="5"/>
  <c r="J72" i="5"/>
  <c r="L72" i="5" s="1"/>
  <c r="I72" i="5"/>
  <c r="H72" i="5"/>
  <c r="G72" i="5"/>
  <c r="K72" i="5" s="1"/>
  <c r="E72" i="5"/>
  <c r="D74" i="5" l="1"/>
  <c r="E73" i="5"/>
  <c r="I73" i="5"/>
  <c r="H73" i="5"/>
  <c r="J73" i="5"/>
  <c r="L73" i="5" s="1"/>
  <c r="F73" i="5"/>
  <c r="G73" i="5"/>
  <c r="K73" i="5" s="1"/>
  <c r="D75" i="5" l="1"/>
  <c r="E74" i="5"/>
  <c r="F74" i="5"/>
  <c r="I74" i="5"/>
  <c r="J74" i="5"/>
  <c r="L74" i="5" s="1"/>
  <c r="H74" i="5"/>
  <c r="G74" i="5"/>
  <c r="K74" i="5" s="1"/>
  <c r="D76" i="5" l="1"/>
  <c r="J75" i="5"/>
  <c r="L75" i="5" s="1"/>
  <c r="I75" i="5"/>
  <c r="F75" i="5"/>
  <c r="G75" i="5"/>
  <c r="K75" i="5" s="1"/>
  <c r="H75" i="5"/>
  <c r="E75" i="5"/>
  <c r="D77" i="5" l="1"/>
  <c r="F76" i="5"/>
  <c r="G76" i="5"/>
  <c r="K76" i="5" s="1"/>
  <c r="E76" i="5"/>
  <c r="I76" i="5"/>
  <c r="J76" i="5"/>
  <c r="L76" i="5" s="1"/>
  <c r="H76" i="5"/>
  <c r="D78" i="5" l="1"/>
  <c r="J77" i="5"/>
  <c r="L77" i="5" s="1"/>
  <c r="I77" i="5"/>
  <c r="E77" i="5"/>
  <c r="H77" i="5"/>
  <c r="F77" i="5"/>
  <c r="G77" i="5"/>
  <c r="K77" i="5" s="1"/>
  <c r="D79" i="5" l="1"/>
  <c r="E78" i="5"/>
  <c r="J78" i="5"/>
  <c r="L78" i="5" s="1"/>
  <c r="I78" i="5"/>
  <c r="H78" i="5"/>
  <c r="F78" i="5"/>
  <c r="G78" i="5"/>
  <c r="K78" i="5" s="1"/>
  <c r="F79" i="5" l="1"/>
  <c r="G79" i="5"/>
  <c r="K79" i="5" s="1"/>
  <c r="J79" i="5"/>
  <c r="L79" i="5" s="1"/>
  <c r="I79" i="5"/>
  <c r="E79" i="5"/>
  <c r="H79" i="5"/>
</calcChain>
</file>

<file path=xl/comments1.xml><?xml version="1.0" encoding="utf-8"?>
<comments xmlns="http://schemas.openxmlformats.org/spreadsheetml/2006/main">
  <authors>
    <author>Peter-Arno Coppen</author>
  </authors>
  <commentList>
    <comment ref="C5" authorId="0" shapeId="0">
      <text>
        <r>
          <rPr>
            <b/>
            <sz val="9"/>
            <color indexed="81"/>
            <rFont val="Tahoma"/>
            <family val="2"/>
          </rPr>
          <t>Peter-Arno Coppen:</t>
        </r>
        <r>
          <rPr>
            <sz val="9"/>
            <color indexed="81"/>
            <rFont val="Tahoma"/>
            <family val="2"/>
          </rPr>
          <t xml:space="preserve">
Vul hier de gegevens in
Gebruik 1 formulier per student</t>
        </r>
      </text>
    </comment>
    <comment ref="C7" authorId="0" shapeId="0">
      <text>
        <r>
          <rPr>
            <b/>
            <sz val="9"/>
            <color indexed="81"/>
            <rFont val="Tahoma"/>
            <family val="2"/>
          </rPr>
          <t>Peter-Arno Coppen:</t>
        </r>
        <r>
          <rPr>
            <sz val="9"/>
            <color indexed="81"/>
            <rFont val="Tahoma"/>
            <family val="2"/>
          </rPr>
          <t xml:space="preserve">
Vul hier de gegevens in
Gebruik 1 formulier per student</t>
        </r>
      </text>
    </comment>
  </commentList>
</comments>
</file>

<file path=xl/comments2.xml><?xml version="1.0" encoding="utf-8"?>
<comments xmlns="http://schemas.openxmlformats.org/spreadsheetml/2006/main">
  <authors>
    <author>Peter-Arno Coppen</author>
  </authors>
  <commentList>
    <comment ref="B6" authorId="0" shapeId="0">
      <text>
        <r>
          <rPr>
            <b/>
            <sz val="9"/>
            <color indexed="81"/>
            <rFont val="Tahoma"/>
            <family val="2"/>
          </rPr>
          <t>Peter-Arno Coppen:</t>
        </r>
        <r>
          <rPr>
            <sz val="9"/>
            <color indexed="81"/>
            <rFont val="Tahoma"/>
            <family val="2"/>
          </rPr>
          <t xml:space="preserve">
</t>
        </r>
        <r>
          <rPr>
            <b/>
            <sz val="9"/>
            <color indexed="81"/>
            <rFont val="Tahoma"/>
            <family val="2"/>
          </rPr>
          <t xml:space="preserve">Let op: 
</t>
        </r>
        <r>
          <rPr>
            <sz val="9"/>
            <color indexed="81"/>
            <rFont val="Tahoma"/>
            <family val="2"/>
          </rPr>
          <t xml:space="preserve">Eerst </t>
        </r>
        <r>
          <rPr>
            <b/>
            <i/>
            <sz val="9"/>
            <color indexed="81"/>
            <rFont val="Tahoma"/>
            <family val="2"/>
          </rPr>
          <t xml:space="preserve">dubbelklikken </t>
        </r>
        <r>
          <rPr>
            <sz val="9"/>
            <color indexed="81"/>
            <rFont val="Tahoma"/>
            <family val="2"/>
          </rPr>
          <t xml:space="preserve">om de tekst te bewerken!
Gebruik </t>
        </r>
        <r>
          <rPr>
            <b/>
            <sz val="9"/>
            <color indexed="81"/>
            <rFont val="Tahoma"/>
            <family val="2"/>
          </rPr>
          <t>ALT+ENTER</t>
        </r>
        <r>
          <rPr>
            <sz val="9"/>
            <color indexed="81"/>
            <rFont val="Tahoma"/>
            <family val="2"/>
          </rPr>
          <t xml:space="preserve"> voor nieuwe regel</t>
        </r>
      </text>
    </comment>
  </commentList>
</comments>
</file>

<file path=xl/comments3.xml><?xml version="1.0" encoding="utf-8"?>
<comments xmlns="http://schemas.openxmlformats.org/spreadsheetml/2006/main">
  <authors>
    <author>Peter-Arno Coppen</author>
  </authors>
  <commentList>
    <comment ref="C7" authorId="0" shapeId="0">
      <text>
        <r>
          <rPr>
            <b/>
            <sz val="9"/>
            <color indexed="81"/>
            <rFont val="Tahoma"/>
            <family val="2"/>
          </rPr>
          <t>Peter-Arno Coppen:</t>
        </r>
        <r>
          <rPr>
            <sz val="9"/>
            <color indexed="81"/>
            <rFont val="Tahoma"/>
            <family val="2"/>
          </rPr>
          <t xml:space="preserve">
Vul hier de gegevens in
Gebruik 1 formulier per student</t>
        </r>
      </text>
    </comment>
    <comment ref="B29" authorId="0" shapeId="0">
      <text>
        <r>
          <rPr>
            <b/>
            <sz val="9"/>
            <color indexed="81"/>
            <rFont val="Tahoma"/>
            <family val="2"/>
          </rPr>
          <t>Peter-Arno Coppen:</t>
        </r>
        <r>
          <rPr>
            <sz val="9"/>
            <color indexed="81"/>
            <rFont val="Tahoma"/>
            <family val="2"/>
          </rPr>
          <t xml:space="preserve">
</t>
        </r>
        <r>
          <rPr>
            <b/>
            <sz val="9"/>
            <color indexed="81"/>
            <rFont val="Tahoma"/>
            <family val="2"/>
          </rPr>
          <t xml:space="preserve">Let op: 
</t>
        </r>
        <r>
          <rPr>
            <sz val="9"/>
            <color indexed="81"/>
            <rFont val="Tahoma"/>
            <family val="2"/>
          </rPr>
          <t xml:space="preserve">Eerst </t>
        </r>
        <r>
          <rPr>
            <b/>
            <i/>
            <sz val="9"/>
            <color indexed="81"/>
            <rFont val="Tahoma"/>
            <family val="2"/>
          </rPr>
          <t xml:space="preserve">dubbelklikken </t>
        </r>
        <r>
          <rPr>
            <sz val="9"/>
            <color indexed="81"/>
            <rFont val="Tahoma"/>
            <family val="2"/>
          </rPr>
          <t xml:space="preserve">om de tekst te bewerken!
Gebruik </t>
        </r>
        <r>
          <rPr>
            <b/>
            <sz val="9"/>
            <color indexed="81"/>
            <rFont val="Tahoma"/>
            <family val="2"/>
          </rPr>
          <t>ALT+ENTER</t>
        </r>
        <r>
          <rPr>
            <sz val="9"/>
            <color indexed="81"/>
            <rFont val="Tahoma"/>
            <family val="2"/>
          </rPr>
          <t xml:space="preserve"> voor nieuwe regel</t>
        </r>
      </text>
    </comment>
  </commentList>
</comments>
</file>

<file path=xl/sharedStrings.xml><?xml version="1.0" encoding="utf-8"?>
<sst xmlns="http://schemas.openxmlformats.org/spreadsheetml/2006/main" count="900" uniqueCount="284">
  <si>
    <t>Adequaat</t>
  </si>
  <si>
    <t>Excellent</t>
  </si>
  <si>
    <t>Berekening</t>
  </si>
  <si>
    <t>Score</t>
  </si>
  <si>
    <t>Eindcijfer</t>
  </si>
  <si>
    <t>Totaal</t>
  </si>
  <si>
    <t>Student</t>
  </si>
  <si>
    <t>Examinator</t>
  </si>
  <si>
    <t>Globale aanpassing half punt</t>
  </si>
  <si>
    <t>Instellingen</t>
  </si>
  <si>
    <t>Minder dan beginnend</t>
  </si>
  <si>
    <t>Beginnend</t>
  </si>
  <si>
    <t>In ontwikkeling</t>
  </si>
  <si>
    <t>Vakdidactisch Specialist</t>
  </si>
  <si>
    <t>Vakinhoud</t>
  </si>
  <si>
    <t>Maakt geregeld fouten die getuigen van gebrek aan vakkennis.</t>
  </si>
  <si>
    <t>Biedt vakinhoud op het niveau van het lesboek.</t>
  </si>
  <si>
    <t>Biedt vakinhoud op het niveau van het lesboek en brengt daar eigen accenten in aan.</t>
  </si>
  <si>
    <t>Biedt vakinhoud die boven het lesboek uitstijgt.</t>
  </si>
  <si>
    <t>Ontwerp leerlijn</t>
  </si>
  <si>
    <t>Besteedt onvoldoende aandacht aan de lesvoorbereiding.</t>
  </si>
  <si>
    <t>Maakt losse lesvoorbereidingen, grotendeels gebaseerd op het lesboek.</t>
  </si>
  <si>
    <t>Laat in de lesvoorbereidingen de samenhang tussen de verschillende lessen zien.</t>
  </si>
  <si>
    <t>Ontwerpt lessen(reeksen) vanuit een grotere leerlijn en het leren van de leerling.</t>
  </si>
  <si>
    <t>Werkvormen en leeractiviteiten</t>
  </si>
  <si>
    <t>Zoekt niet naar passende werkvormen.</t>
  </si>
  <si>
    <t>Identificeert werkvormen die gebruikt worden in een les. Probeert voor de hand liggende werkvormen uit.</t>
  </si>
  <si>
    <t xml:space="preserve">Experimenteert met verschillende (activerende) werkvormen  die de leerlingen helpen om de leerdoelen halen. </t>
  </si>
  <si>
    <t>Beheerst een aantal (activerende) werkvormen en  weet deze op gepaste tijden in te zetten.</t>
  </si>
  <si>
    <t>Heeft een uitgebreid repertoire aan activerende werkvormen en kan deze flexibel en effectief in te zetten.</t>
  </si>
  <si>
    <t>Leermiddelen en hulpmaterialen</t>
  </si>
  <si>
    <t>Heeft moeite met het gebruik van het lesboek.</t>
  </si>
  <si>
    <t xml:space="preserve">Gebruikt naast het lesboek soms zelf gevonden aanvullende leermiddelen. </t>
  </si>
  <si>
    <t>Gebruikt naast het lesboek geregeld gevarieerde leermiddelen (bijvoorbeeld krant, digitaal materiaal, digitale leeromgeving, digiboard,…)</t>
  </si>
  <si>
    <t>Zet een uitgebreid en origineel repertoire aan leermiddelen en materialen in.</t>
  </si>
  <si>
    <t>Aansturen leerproces in het vak</t>
  </si>
  <si>
    <t>Geeft onduidelijke uitleg en instructies.</t>
  </si>
  <si>
    <t>Legt helder uit en geeft duidelijke instructies. Houdt hierbij rekening met de voorkennis van leerlingen en met de vooropgestelde leerdoelen</t>
  </si>
  <si>
    <t>Geeft duidelijke uitleg en instructies gericht op het behalen van de leerdoelen door de leerlingen.</t>
  </si>
  <si>
    <t>Differentiatie</t>
  </si>
  <si>
    <t>Ziet de klas als groep en heeft geen oog voor de individuele leerling.</t>
  </si>
  <si>
    <t>Leerling-gerichtheid</t>
  </si>
  <si>
    <t xml:space="preserve">Gaat actief op zoek naar raakvlakken tussen het schoolvak en de leef- en belevingswereld van leerlingen. </t>
  </si>
  <si>
    <t xml:space="preserve">Maakt de verbinding tussen het schoolvak en de leef- en belevingswereld van leerlingen. </t>
  </si>
  <si>
    <t>Handelt consequent vanuit inzicht in het vakspecifiek en zelfstandig leren van leerlingen, passend bij vakconcepten van de leerlingen en de vakbeleving door de leerlingen.</t>
  </si>
  <si>
    <t>Attitude</t>
  </si>
  <si>
    <t>Straalt weinig enthousiasme uit.</t>
  </si>
  <si>
    <t>Toont motivatie en enthousiasme voor het schoolvak.</t>
  </si>
  <si>
    <t>Heeft een positieve visie op het schoolvak en maakt deze zichtbaar in de lessen</t>
  </si>
  <si>
    <t>Is gericht op het ontwikkelen en geven van inspirerend onderwijs.</t>
  </si>
  <si>
    <t>Is een rolmodel voor leerlingen en biedt inspiratie voor collega’s in de sectie.</t>
  </si>
  <si>
    <t>Vakspecifieke eisen</t>
  </si>
  <si>
    <t>MVT: spreekt niet of nauwelijks de doeltaal in de les.
BINASK: hanteert het practicum nog niet.</t>
  </si>
  <si>
    <t>MVT: spreekt geregeld de doeltaal in de les.
BINASK: hanteert het practicum als werkvorm.</t>
  </si>
  <si>
    <t>MVT: spreekt consequent de doeltaal en stimuleert het spreken van de doeltaal bij leerlingen.
BINASK: gebruikt het practicum functioneel en adequaat.</t>
  </si>
  <si>
    <t>Evaluatie en toetsing</t>
  </si>
  <si>
    <t>Controleert nauwelijks of leerlingen iets begrepen hebben.</t>
  </si>
  <si>
    <t>Gaat tijdens de les na of de leerlingen het begrepen hebben</t>
  </si>
  <si>
    <t>Evalueert het leren op verschillende momenten tijdens de les. Kijkt toetsen na met behulp van bestaande correctiemodellen</t>
  </si>
  <si>
    <t>Evalueert het leren op verschillende momenten tijdens de les en op verschillende manieren. Ontwerpt zelfstandig toetsen en correctiemodellen.</t>
  </si>
  <si>
    <t>Ontwerpt betrouwbare en valide toetsen en correctiemodellen. Integreert allerhande evaluatietechnieken in het leren van leerlingen</t>
  </si>
  <si>
    <t>Woordrapport</t>
  </si>
  <si>
    <t>Eindscore Vakdidactisch Specialist</t>
  </si>
  <si>
    <t>Eindscore Pedagogisch Specialist</t>
  </si>
  <si>
    <t>Eindscore Professional</t>
  </si>
  <si>
    <t>Voorwaardelijke eisen</t>
  </si>
  <si>
    <t>Vet niet in ontwikkeling</t>
  </si>
  <si>
    <t>Vet op beginnend</t>
  </si>
  <si>
    <t>Vakdidactisch Specialist BS</t>
  </si>
  <si>
    <t>Vakdidactisch Specialist ZS</t>
  </si>
  <si>
    <t>Vet niet adequaat</t>
  </si>
  <si>
    <t>De student beheerst de Nederlandse taal in woord en geschrift voor de praktijk van het eerstegraads veld</t>
  </si>
  <si>
    <t>Voorwaardelijke criteria</t>
  </si>
  <si>
    <t>De student heeft zich in de beoordeelde periode positief ontwikkeld</t>
  </si>
  <si>
    <t>Vakdidactisch Specialist TE</t>
  </si>
  <si>
    <t>Pedagoog</t>
  </si>
  <si>
    <t>Contact</t>
  </si>
  <si>
    <t>Luistert nauwelijks naar leerlingen en/of staat niet open voor hun inbreng.</t>
  </si>
  <si>
    <t>Luistert naar leerlingen en staat open voor hun inbreng.</t>
  </si>
  <si>
    <t>Sturing groepsproces</t>
  </si>
  <si>
    <t>Leiding geven: Corrigeren</t>
  </si>
  <si>
    <t>Leiding geven: Belonen</t>
  </si>
  <si>
    <t>Leiding geven: aandacht</t>
  </si>
  <si>
    <t>Leefklimaat: Gedragsregels</t>
  </si>
  <si>
    <t>Leefklimaat: Omgangsvormen</t>
  </si>
  <si>
    <t>Leerklimaat</t>
  </si>
  <si>
    <t>Structuur bieden</t>
  </si>
  <si>
    <t>Lijkt lastige situaties en ongewenst gedrag niet op te merken en/of reageert er niet op.</t>
  </si>
  <si>
    <t>Reageert op lastige situaties en ongewenst gedrag, niet noodzakelijk adequaat.</t>
  </si>
  <si>
    <t>Voorkomt ongewenst gedrag door erop te anticiperen.</t>
  </si>
  <si>
    <t>Toont weinig of geen waardering voor de inzet van leerlingen.</t>
  </si>
  <si>
    <t>Waardeert de inzet van leerlingen.</t>
  </si>
  <si>
    <t xml:space="preserve">Stimuleert en beloont inzet en constructief gedrag van de leerling. </t>
  </si>
  <si>
    <t>De leerling voelt zich gewaardeerd in zijn eigenheid en ervaart de goede relatie met de docent als een beloning.</t>
  </si>
  <si>
    <t xml:space="preserve">Kan contact maken met leerlingen en hun initiatief daarin steunen.
Sluit in dit contact aan op de belevingswereld van leerlingen.
</t>
  </si>
  <si>
    <t>Leerlingen reageren nauwelijks als de docent de aandacht vraagt.</t>
  </si>
  <si>
    <t>Een deel van de leerlingen reageert als de docent de aandacht vraagt.</t>
  </si>
  <si>
    <t>Alle leerlingen reageren als de docent de aandacht vraagt. De docent treedt op (eventueel non-verbaal) als de aandacht nog onvoldoende is.</t>
  </si>
  <si>
    <t xml:space="preserve">Weet op een natuurlijke en vanzelfsprekende wijze de aandacht van de klas vast te houden. </t>
  </si>
  <si>
    <t>Eigen gedrag is in strijd met de gedragsregels van de school.</t>
  </si>
  <si>
    <t xml:space="preserve">Past de gedragsregels van de school toe. </t>
  </si>
  <si>
    <t xml:space="preserve">Stelt gedragsregels (in lijn met de schoolregels) op voor de eigen klassen en past deze min of meer consequent toe. </t>
  </si>
  <si>
    <t xml:space="preserve">Stelt gedragsregels (in lijn met de schoolregels) op voor de eigen klassen en past deze consequent toe. 
Maakt heldere werkafspraken met leerlingen.
</t>
  </si>
  <si>
    <t>Het is duidelijk en vanzelfsprekend wat wel en niet kan in de klas, er hoeft nog nauwelijks naar gedragsregels verwezen te worden.</t>
  </si>
  <si>
    <t>Toont weinig respect in de omgang met de klas en/of heeft geen oog voor individuele leerlingen</t>
  </si>
  <si>
    <t xml:space="preserve">Bejegent de leerlingen met respect.  </t>
  </si>
  <si>
    <t>Maakt de leerlingen mede verantwoordelijk voor een prettig leefklimaat waarin leerlingen respectvol met elkaar omgaan.</t>
  </si>
  <si>
    <t xml:space="preserve">Het leerklimaat is dusdanig dat er bijna niet geleerd wordt. </t>
  </si>
  <si>
    <t>Weet leerlingen regelmatig aan het werk te krijgen.</t>
  </si>
  <si>
    <t>Schept een veilig leerklimaat waarin de docent en de leerlingen samenwerken.</t>
  </si>
  <si>
    <t>De les kent een duidelijke structuur.</t>
  </si>
  <si>
    <t>Maakt aan het begin van de les de structuur van de les expliciet.</t>
  </si>
  <si>
    <t>Structuur van de les is helder. Leerlingen weten bij overgangen tussen verschillende onderdelen van de les wat er van ze verwacht wordt.</t>
  </si>
  <si>
    <t>Maakt gedurende de hele les ondubbelzinnig aan de leerlingen duidelijk wat er van ze verwacht wordt.</t>
  </si>
  <si>
    <t>Pedagoog TE</t>
  </si>
  <si>
    <t>Pedagoog BS</t>
  </si>
  <si>
    <t>Pedagoog ZS</t>
  </si>
  <si>
    <t>Professional</t>
  </si>
  <si>
    <t>Organiseren van het eigen werk</t>
  </si>
  <si>
    <t>Uitwisseling van informatie</t>
  </si>
  <si>
    <t>Collegiale omgang</t>
  </si>
  <si>
    <t>Zelfkritische houding</t>
  </si>
  <si>
    <t>Regie eigen leerproces</t>
  </si>
  <si>
    <t>Professionele identiteit</t>
  </si>
  <si>
    <t>Ethisch en integer handelen</t>
  </si>
  <si>
    <t>Heeft geen planning of overzicht over de eigen werkzaamheden.</t>
  </si>
  <si>
    <t>Deelt eigen werk niet of slechts op uitdrukkelijk verzoek.</t>
  </si>
  <si>
    <t>Heeft geen oog voor andere collega’s buiten zijn directe begeleider(s).</t>
  </si>
  <si>
    <t>Staat nauwelijks open voor feedback en/of verwerkt deze niet.</t>
  </si>
  <si>
    <t>Heeft  geen of een onduidelijk plan om aan het eigen leerproces en/of aan de eigen startbekwaamheid te werken</t>
  </si>
  <si>
    <t xml:space="preserve">Lijkt zich niet bewust van de eigen rol als docent. </t>
  </si>
  <si>
    <t>Komt afspraken niet na. Het is niet duidelijk wat je aan hem/haar hebt.</t>
  </si>
  <si>
    <t>Kan werkzaamheden over een langere periode overzien en organiseren met hulp van de begeleider.</t>
  </si>
  <si>
    <t xml:space="preserve">Kan zelfstandig een realistische planning maken voor de eigen werkzaamheden. 
Gaat flexibel om met onverwachte situaties en stelt prioriteiten. 
</t>
  </si>
  <si>
    <t xml:space="preserve">Organiseert het eigen werk zo dat het zonder problemen kan worden overgedragen aan collega’s. 
Voert een zorgvuldige administratie van leerling-gegevens.
</t>
  </si>
  <si>
    <t xml:space="preserve">Zorgt dat het eigen werk toegankelijk is voor directe begeleiders in de school.
(Lesvoorbereidingen en leerling-materiaal, portfoliomateriaal)
</t>
  </si>
  <si>
    <t xml:space="preserve">Zorgt dat het eigen werk toegankelijk is voor directe collega’s en begeleiders. 
Levert een constructieve bijdrage aan verschillende vormen van overleg en samenwerking in de sectie.
</t>
  </si>
  <si>
    <t xml:space="preserve">Werkt samen met collega’s aan het voorbereiden, uitvoeren en evalueren van onderwijs. 
Levert een constructieve bijdrage aan verschillende vormen van overleg en samenwerking in de school.
</t>
  </si>
  <si>
    <t>Werkt samen met collega’s systematisch aan het verbeteren en vernieuwen van het onderwijs of de organisatie.</t>
  </si>
  <si>
    <t>Maakt contact met collega’s.</t>
  </si>
  <si>
    <t>Vraagt en biedt hulp aan collega’s.</t>
  </si>
  <si>
    <t xml:space="preserve">Geeft en ontvangt collegiale consultatie en intervisie. 
Werkt volgens de in de organisatie geldende afspraken, procedures en systemen. 
Is zich bewust van de processen, taken en verantwoordelijkheden binnen de schoolorganisatie.
</t>
  </si>
  <si>
    <t>Neemt initiatief om tot betere processen en/of een betere collegiale omgang te komen in de schoolorganisatie.</t>
  </si>
  <si>
    <t>Staat open voor feedback en verwerkt die in de eigen ontwikkeling.</t>
  </si>
  <si>
    <t>Werkt planmatig aan de eigen ontwikkeling op basis van geconstateerde sterke en zwakke punten.</t>
  </si>
  <si>
    <t>Gebruikt evaluatie, reflectie en feedback van anderen om zich tot startbekwaamheid te ontwikkelen.</t>
  </si>
  <si>
    <t>Werkt systematisch en op eigen initiatief aan de eigen startbekwaamheid en gaat daarbij actief op zoek naar feedback en theoretische input. Onderzoekt de eigen onderwijspraktijk systematisch en wendt resultaten uit dit onderzoek aan om gesignaleerde problemen op te lossen.</t>
  </si>
  <si>
    <t>Werkt ad hoc aan de eigen startbekwaamheid op basis van input van buitenaf.</t>
  </si>
  <si>
    <t>Werkt aan de eigen startbekwaamheid op basis van zelf geformuleerde leerdoelen.</t>
  </si>
  <si>
    <t xml:space="preserve">Werkt vanuit visie op leren aan de eigen startbekwaamheid.
Plaatst leerervaringen in grotere thema’s (patronen) van  en redeneert vanuit een conceptueel kader.
</t>
  </si>
  <si>
    <t>Neemt de rol van docent soms wel en soms niet aan.</t>
  </si>
  <si>
    <t xml:space="preserve">Accepteert de rol van de docent en laat dit  zien in gedrag. </t>
  </si>
  <si>
    <t xml:space="preserve">Is zich voortdurend bewust van de eigen rol als docent en weet zijn persoonlijkheid daarbij in te zetten.
</t>
  </si>
  <si>
    <t>Docent zijn is op een natuurlijke en vanzelfsprekende manier in zijn/haar  persoonlijkheid verankerd.</t>
  </si>
  <si>
    <t>Komt afspraken na. Doet wat hij/zij zegt en zegt wat hij /zij doet.</t>
  </si>
  <si>
    <t>Respecteert leerlingen, collega’s en andere betrokkenen en houdt af en toe rekening met hun belangen en wensen.</t>
  </si>
  <si>
    <t xml:space="preserve">Toont respect voor leerlingen, collega’s en andere betrokkenen als persoon en houdt rekening met hun belangen en wensen. </t>
  </si>
  <si>
    <t xml:space="preserve">Toont grote toewijding en respect naar leerlingen en andere betrokkenen. Gaat integer om met moeilijke situaties. Streeft naar een voorbeeldrol. </t>
  </si>
  <si>
    <t>Professional TE</t>
  </si>
  <si>
    <t>Professional BS</t>
  </si>
  <si>
    <t>Professional ZS</t>
  </si>
  <si>
    <t>Hoeveel van deze lessen vonden plaats in de bovenbouw (4 en 5 HAVO, en 4, 5 en 6 VWO)?</t>
  </si>
  <si>
    <t>Aan welke klassen heeft de student deze lessen gegeven?</t>
  </si>
  <si>
    <t>H/V</t>
  </si>
  <si>
    <t>VWO</t>
  </si>
  <si>
    <t>GYM</t>
  </si>
  <si>
    <t>HAVO</t>
  </si>
  <si>
    <t>VMBO/H</t>
  </si>
  <si>
    <t>VMBO</t>
  </si>
  <si>
    <t>Welke andere activiteiten t.b.v. leerlingen, sectie en school heeft de student uitgevoerd?</t>
  </si>
  <si>
    <r>
      <t xml:space="preserve">Hoeveel lessen heeft de student ongeveer gegeven? </t>
    </r>
    <r>
      <rPr>
        <i/>
        <sz val="12"/>
        <color theme="1"/>
        <rFont val="Arial"/>
        <family val="2"/>
      </rPr>
      <t>NB: invullen vanaf 10 (deel)lessen</t>
    </r>
  </si>
  <si>
    <t>De student heeft de verplichte onderdelen in het portfolio opgenomen</t>
  </si>
  <si>
    <t>3e Beoordelaar (opleider docentenacademie)</t>
  </si>
  <si>
    <t>MdB (v)</t>
  </si>
  <si>
    <t>&lt; B(v)</t>
  </si>
  <si>
    <t>&lt; IO (v)</t>
  </si>
  <si>
    <t>&lt; A (v)</t>
  </si>
  <si>
    <t>MdB(v)</t>
  </si>
  <si>
    <t>Lege cellen</t>
  </si>
  <si>
    <r>
      <t xml:space="preserve">Zijn er drie of meer items onder het streefniveau </t>
    </r>
    <r>
      <rPr>
        <i/>
        <sz val="8"/>
        <color theme="1"/>
        <rFont val="Arial"/>
        <family val="2"/>
      </rPr>
      <t>beginnend</t>
    </r>
    <r>
      <rPr>
        <sz val="8"/>
        <color theme="1"/>
        <rFont val="Arial"/>
        <family val="2"/>
      </rPr>
      <t>? Dan is het resultaat 5</t>
    </r>
  </si>
  <si>
    <r>
      <t xml:space="preserve">Zijn er drie of meer items onder het streefniveau </t>
    </r>
    <r>
      <rPr>
        <i/>
        <sz val="8"/>
        <color theme="1"/>
        <rFont val="Arial"/>
        <family val="2"/>
      </rPr>
      <t>in ontwikkeling</t>
    </r>
    <r>
      <rPr>
        <sz val="8"/>
        <color theme="1"/>
        <rFont val="Arial"/>
        <family val="2"/>
      </rPr>
      <t>? Dan is het resultaat 5</t>
    </r>
  </si>
  <si>
    <r>
      <t xml:space="preserve">Is er één item onder het streefniveau </t>
    </r>
    <r>
      <rPr>
        <i/>
        <sz val="8"/>
        <color theme="1"/>
        <rFont val="Arial"/>
        <family val="2"/>
      </rPr>
      <t xml:space="preserve">in ontwikkeling </t>
    </r>
    <r>
      <rPr>
        <sz val="8"/>
        <color theme="1"/>
        <rFont val="Arial"/>
        <family val="2"/>
      </rPr>
      <t>én is het streefniveau</t>
    </r>
    <r>
      <rPr>
        <i/>
        <sz val="8"/>
        <color theme="1"/>
        <rFont val="Arial"/>
        <family val="2"/>
      </rPr>
      <t xml:space="preserve"> </t>
    </r>
    <r>
      <rPr>
        <sz val="8"/>
        <color theme="1"/>
        <rFont val="Arial"/>
        <family val="2"/>
      </rPr>
      <t>vetgedrukt? Dan is het resultaat 5</t>
    </r>
  </si>
  <si>
    <t>Ruw Cijfer</t>
  </si>
  <si>
    <t>Streef score</t>
  </si>
  <si>
    <t>Afgerond</t>
  </si>
  <si>
    <t>Cijfer volgens de formule</t>
  </si>
  <si>
    <r>
      <t xml:space="preserve">Is er één vetgedrukt item op niveau </t>
    </r>
    <r>
      <rPr>
        <i/>
        <sz val="8"/>
        <color theme="1"/>
        <rFont val="Arial"/>
        <family val="2"/>
      </rPr>
      <t xml:space="preserve">minder dan beginnend? </t>
    </r>
    <r>
      <rPr>
        <sz val="8"/>
        <color theme="1"/>
        <rFont val="Arial"/>
        <family val="2"/>
      </rPr>
      <t>Dan is het resultaat 5</t>
    </r>
  </si>
  <si>
    <r>
      <t xml:space="preserve">Is er één item onder het streefniveau </t>
    </r>
    <r>
      <rPr>
        <i/>
        <sz val="8"/>
        <color theme="1"/>
        <rFont val="Arial"/>
        <family val="2"/>
      </rPr>
      <t xml:space="preserve">beginnend </t>
    </r>
    <r>
      <rPr>
        <sz val="8"/>
        <color theme="1"/>
        <rFont val="Arial"/>
        <family val="2"/>
      </rPr>
      <t>én is het streefniveau</t>
    </r>
    <r>
      <rPr>
        <i/>
        <sz val="8"/>
        <color theme="1"/>
        <rFont val="Arial"/>
        <family val="2"/>
      </rPr>
      <t xml:space="preserve"> </t>
    </r>
    <r>
      <rPr>
        <sz val="8"/>
        <color theme="1"/>
        <rFont val="Arial"/>
        <family val="2"/>
      </rPr>
      <t>vetgedrukt? Dan is het resultaat 5</t>
    </r>
  </si>
  <si>
    <r>
      <t xml:space="preserve">Zijn er drie of meer items onder het streefniveau </t>
    </r>
    <r>
      <rPr>
        <i/>
        <sz val="8"/>
        <color theme="1"/>
        <rFont val="Arial"/>
        <family val="2"/>
      </rPr>
      <t>adequaat</t>
    </r>
    <r>
      <rPr>
        <sz val="8"/>
        <color theme="1"/>
        <rFont val="Arial"/>
        <family val="2"/>
      </rPr>
      <t>? Dan is het resultaat 5</t>
    </r>
  </si>
  <si>
    <r>
      <t xml:space="preserve">Is er één item onder het streefniveau </t>
    </r>
    <r>
      <rPr>
        <i/>
        <sz val="8"/>
        <color theme="1"/>
        <rFont val="Arial"/>
        <family val="2"/>
      </rPr>
      <t xml:space="preserve">adequaat </t>
    </r>
    <r>
      <rPr>
        <sz val="8"/>
        <color theme="1"/>
        <rFont val="Arial"/>
        <family val="2"/>
      </rPr>
      <t>én is het streefniveau</t>
    </r>
    <r>
      <rPr>
        <i/>
        <sz val="8"/>
        <color theme="1"/>
        <rFont val="Arial"/>
        <family val="2"/>
      </rPr>
      <t xml:space="preserve"> </t>
    </r>
    <r>
      <rPr>
        <sz val="8"/>
        <color theme="1"/>
        <rFont val="Arial"/>
        <family val="2"/>
      </rPr>
      <t>vetgedrukt? Dan is het resultaat 5</t>
    </r>
  </si>
  <si>
    <t>Alle rijen in de rubric zijn ingevuld</t>
  </si>
  <si>
    <t>In te vullen door de opleider van de Radboud Docenten Academie</t>
  </si>
  <si>
    <t>Het portfolio ondersteunt het algemene oordeel in deze rubric</t>
  </si>
  <si>
    <t>Handtekeningen</t>
  </si>
  <si>
    <t>Code</t>
  </si>
  <si>
    <t>Ondertekening</t>
  </si>
  <si>
    <t>(gebruik maximaal  10 regels)</t>
  </si>
  <si>
    <t>Minimum Score</t>
  </si>
  <si>
    <t>Aantal rijen</t>
  </si>
  <si>
    <t>Maximum Score</t>
  </si>
  <si>
    <t>Aantal korte rijen</t>
  </si>
  <si>
    <t>Streefniveau</t>
  </si>
  <si>
    <t>Voldoendegrens</t>
  </si>
  <si>
    <t>MaxCijfer</t>
  </si>
  <si>
    <t>VolCijfer</t>
  </si>
  <si>
    <t>Streefcijfer</t>
  </si>
  <si>
    <t>Max Score</t>
  </si>
  <si>
    <t>Min Score</t>
  </si>
  <si>
    <t>Vol Score</t>
  </si>
  <si>
    <t>Vol Cijfer</t>
  </si>
  <si>
    <t xml:space="preserve">Streef Score </t>
  </si>
  <si>
    <t>Streef Cijfer</t>
  </si>
  <si>
    <t>MaxScore</t>
  </si>
  <si>
    <t>Onv Curve</t>
  </si>
  <si>
    <t>Vol Curve</t>
  </si>
  <si>
    <t>Exc Curve</t>
  </si>
  <si>
    <t>Algemene toelichting bij de beoordeling</t>
  </si>
  <si>
    <t>Ik heb het woordrapport volledig ingevuld</t>
  </si>
  <si>
    <t xml:space="preserve">Woordrapport: </t>
  </si>
  <si>
    <t>Is het deelresultaat 5,5? Rond dan af op 6</t>
  </si>
  <si>
    <t>Heeft geen overzicht over wat er gebeurt in de groep.</t>
  </si>
  <si>
    <t>Heeft soms, maar nog niet altijd overzicht over wat er gebeurt in de groep.</t>
  </si>
  <si>
    <t>Ziet wat er gebeurt in de groep en ziet de individuele leerling in de groep.</t>
  </si>
  <si>
    <t>Bemiddelt, leidt, begeleidt, stimuleert en confronteert de groep op een vanzelfsprekende en geaccepteerde manier. Voorkomt negatieve groepsprocessen door erop te anticiperen.</t>
  </si>
  <si>
    <t>Is het formulier correct ingevuld?</t>
  </si>
  <si>
    <t>Datum tentamen</t>
  </si>
  <si>
    <t>Betrekt meer dan eens nieuwe wetenschappelijke vakinhoudelijke inzichten in zijn lessen. Kan los van het lesboek werken.</t>
  </si>
  <si>
    <t>Ontwerpt lessen(reeksen) vanuit inzicht in een grotere leerlijn over meerdere leerjaren van het schoolvakcurriculum.</t>
  </si>
  <si>
    <t>Gebruikt het lesboek en bijbehorend leermateriaal als leermiddel.</t>
  </si>
  <si>
    <t xml:space="preserve">Is in de aansturing van het leerproces gericht op het optimaliseren van leeropbrengsten bij individuele leerlingen. </t>
  </si>
  <si>
    <t>Leert leerlingen te reflecteren op hun eigen leerproces. Slaagt erin om leerlingen grote vooruitgang te laten maken in het vak.</t>
  </si>
  <si>
    <t>Heeft aandacht voor vakspecifieke verschillen tussenleerlingen en speelt in op hun individuele leef- en belevingswereld.</t>
  </si>
  <si>
    <t xml:space="preserve">Communiceert adequaat met leerlingen, en in voorkomende gevallen met relevante derden (collega’s, ouders). </t>
  </si>
  <si>
    <t>Onderhoudt op een vanzelfsprekende manier een rijke en passende communicatie met de klas, individuele leerlingen en relevante derden.</t>
  </si>
  <si>
    <t>Stimuleert en beloont initiatief en zelfstandigheid van leerlingen.</t>
  </si>
  <si>
    <t>1e Beoordelaar (wpb)</t>
  </si>
  <si>
    <t>2e Beoordelaar (bv schoolopleider)</t>
  </si>
  <si>
    <t>Het woordrapport is door de werkplekbegeleider ingevuld</t>
  </si>
  <si>
    <t>Toont geen interesse in de leef- en belevingswereld van leerlingen.</t>
  </si>
  <si>
    <t>De les kent weinig structuur.</t>
  </si>
  <si>
    <t>Is zich soms bewust van verschillen tussen individuele leerlingen maar kan dit nog niet vertalen naar een gedifferentieerde aanpak.</t>
  </si>
  <si>
    <t>Is zich geregeld bewust van verschillen tussen individuele leerlingen en kan dit soms vertalen naar een gedifferentieerde aanpak.</t>
  </si>
  <si>
    <t>Is zich voortdurend bewust van verschillen tussen individuele leerlingen en kan dit geregeld vertalen naar een gedifferentieerde aanpak.</t>
  </si>
  <si>
    <t xml:space="preserve">Is gericht op verschillen tussen individuele leerlingen en slaagt er meestal in dit te vertalen naar een gedifferentieerde aanpak. </t>
  </si>
  <si>
    <r>
      <t>Stuurt het groepsproces</t>
    </r>
    <r>
      <rPr>
        <b/>
        <sz val="8"/>
        <color theme="1"/>
        <rFont val="Arial"/>
        <family val="2"/>
      </rPr>
      <t>.</t>
    </r>
    <r>
      <rPr>
        <sz val="8"/>
        <color theme="1"/>
        <rFont val="Arial"/>
        <family val="2"/>
      </rPr>
      <t xml:space="preserve"> Maakt individuele leerlingen mede verantwoordelijk voor de sfeer in de groep. Past gerichte interventies toe om het sociale klimaat in de klas te verbeteren.</t>
    </r>
  </si>
  <si>
    <t>Corrigeert ongewenst gedrag  op het niveau van de groep en op het niveau van de individuele leerling. Lost lastige situaties met hulp op.</t>
  </si>
  <si>
    <t>Kan geregeld zonder hulp lastige situaties aanpakken. Betrekt waar nodig derden uit de school.</t>
  </si>
  <si>
    <t xml:space="preserve">De leerlingen zijn stil als de docent de aandacht vraagt. De docent weet de aandacht van de meeste leerlingen vast te houden tijdens uitleg. </t>
  </si>
  <si>
    <t>Zorgt voor een prettig leefklimaat waarin leerlingen respectvol met elkaar omgaan.</t>
  </si>
  <si>
    <t>Zorgt doorgaans dat leerlingen op een respectvolle manier met  hem/haar en elkaar omgaan.</t>
  </si>
  <si>
    <t>Maakt de leerlingen mede verantwoordelijk voor een constructief leerklimaat waarin leerlingen met elkaar kunnen samenwerken.</t>
  </si>
  <si>
    <t xml:space="preserve">Schept en handhaaft in vrijwel elke situatie een productieve leeromgeving, waar leerlingen zich medeverantwoordelijk voor voelen. </t>
  </si>
  <si>
    <t>MVT: spreekt consequent de doeltaal in de les.
BINASK: begeleidt actief bij het practicum.</t>
  </si>
  <si>
    <t>Radboud Docenten Academie</t>
  </si>
  <si>
    <t>z</t>
  </si>
  <si>
    <t>Vakspecifieke eisen (alleen voor MVT of BINASK)</t>
  </si>
  <si>
    <t>School</t>
  </si>
  <si>
    <t>correctie</t>
  </si>
  <si>
    <t>eindcijfer</t>
  </si>
  <si>
    <t>ruwe cijfer</t>
  </si>
  <si>
    <t>onvoldoende?</t>
  </si>
  <si>
    <t>afronding op 0,5</t>
  </si>
  <si>
    <t>toegestande correctie</t>
  </si>
  <si>
    <t>Het afsprakenformulier voor de herkansing is in het tabblad 'Verlengde stage' ingevuld</t>
  </si>
  <si>
    <t>Oorspronkelijke datum tentamen</t>
  </si>
  <si>
    <t xml:space="preserve">Herkansing </t>
  </si>
  <si>
    <t>Aandachtspunten Verlengde Stage</t>
  </si>
  <si>
    <t>Kerngegevens Verlengde Stage</t>
  </si>
  <si>
    <t>Tentamendatum</t>
  </si>
  <si>
    <t>Er zijn afspraken gemaakt over de aandachtspunten in de ontwikkeling van de student</t>
  </si>
  <si>
    <t>De verplichtingen van de student zijn nader bepaald</t>
  </si>
  <si>
    <t>De verplichtingen van de school zijn nader bepaald</t>
  </si>
  <si>
    <t>De verplichtingen van de Radboud Docenten Academie zijn nader bepaald</t>
  </si>
  <si>
    <t xml:space="preserve">Uitwerking: </t>
  </si>
  <si>
    <t>Uitwerking Afspraken</t>
  </si>
  <si>
    <r>
      <t xml:space="preserve">De beoordeling vindt plaats </t>
    </r>
    <r>
      <rPr>
        <b/>
        <i/>
        <sz val="11"/>
        <color theme="1"/>
        <rFont val="Arial"/>
        <family val="2"/>
      </rPr>
      <t>na</t>
    </r>
  </si>
  <si>
    <t>3e Beoordelaar (instituutsopleider)</t>
  </si>
  <si>
    <t>Er is (met de studieadviseur) gesproken over de gevolgen voor de studievoortgang (bv andere tentamens)</t>
  </si>
  <si>
    <t>Afsprakenformulier Verlengde Stage</t>
  </si>
  <si>
    <t>a</t>
  </si>
  <si>
    <t>1e Beoordelaar (werkplekbegeleider)</t>
  </si>
  <si>
    <t>Werkplekbegeleider verlengde stage</t>
  </si>
  <si>
    <t>-   Invullen in overleg met werkplekbegeleider, instituutsbegeleider en studieadviseur
-   Ondertekenen door nieuwe werkplekbegeleider en instituutsopleider
-   Kopie inleveren bij examinator, stagecoördinator, school en examencommissie</t>
  </si>
  <si>
    <t>Beoordelingsformulier Tentamen Stage Master (sep2017v1.1)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</si>
</sst>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13]d\ mmmm\ yyyy;@"/>
  </numFmts>
  <fonts count="42" x14ac:knownFonts="1">
    <font>
      <sz val="11"/>
      <color theme="1"/>
      <name val="Calibri"/>
      <family val="2"/>
      <scheme val="minor"/>
    </font>
    <font>
      <sz val="9"/>
      <color indexed="81"/>
      <name val="Tahoma"/>
      <family val="2"/>
    </font>
    <font>
      <b/>
      <sz val="9"/>
      <color indexed="81"/>
      <name val="Tahoma"/>
      <family val="2"/>
    </font>
    <font>
      <b/>
      <i/>
      <sz val="9"/>
      <color indexed="81"/>
      <name val="Tahoma"/>
      <family val="2"/>
    </font>
    <font>
      <sz val="11"/>
      <color theme="1"/>
      <name val="Arial"/>
      <family val="2"/>
    </font>
    <font>
      <b/>
      <sz val="14"/>
      <color theme="1"/>
      <name val="Arial"/>
      <family val="2"/>
    </font>
    <font>
      <b/>
      <sz val="9"/>
      <color theme="1"/>
      <name val="Arial"/>
      <family val="2"/>
    </font>
    <font>
      <sz val="9"/>
      <color theme="1"/>
      <name val="Arial"/>
      <family val="2"/>
    </font>
    <font>
      <b/>
      <sz val="22"/>
      <color rgb="FFF9F9F9"/>
      <name val="Arial"/>
      <family val="2"/>
    </font>
    <font>
      <sz val="11"/>
      <color rgb="FFF9F9F9"/>
      <name val="Arial"/>
      <family val="2"/>
    </font>
    <font>
      <sz val="14"/>
      <color theme="1"/>
      <name val="Arial"/>
      <family val="2"/>
    </font>
    <font>
      <i/>
      <sz val="12"/>
      <color theme="1"/>
      <name val="Arial"/>
      <family val="2"/>
    </font>
    <font>
      <sz val="12"/>
      <color theme="1"/>
      <name val="Arial"/>
      <family val="2"/>
    </font>
    <font>
      <sz val="20"/>
      <color theme="1"/>
      <name val="Arial"/>
      <family val="2"/>
    </font>
    <font>
      <b/>
      <sz val="12"/>
      <color theme="1"/>
      <name val="Arial"/>
      <family val="2"/>
    </font>
    <font>
      <sz val="8"/>
      <color theme="1"/>
      <name val="Arial"/>
      <family val="2"/>
    </font>
    <font>
      <b/>
      <sz val="8"/>
      <color theme="1"/>
      <name val="Arial"/>
      <family val="2"/>
    </font>
    <font>
      <b/>
      <sz val="8"/>
      <color rgb="FFC00000"/>
      <name val="Arial"/>
      <family val="2"/>
    </font>
    <font>
      <sz val="8"/>
      <name val="Arial"/>
      <family val="2"/>
    </font>
    <font>
      <sz val="24"/>
      <color theme="1"/>
      <name val="Arial"/>
      <family val="2"/>
    </font>
    <font>
      <sz val="28"/>
      <color theme="1"/>
      <name val="Arial"/>
      <family val="2"/>
    </font>
    <font>
      <sz val="18"/>
      <color theme="1"/>
      <name val="Arial"/>
      <family val="2"/>
    </font>
    <font>
      <b/>
      <sz val="12"/>
      <color rgb="FFFF0000"/>
      <name val="Arial"/>
      <family val="2"/>
    </font>
    <font>
      <sz val="11"/>
      <color rgb="FFFF0000"/>
      <name val="Arial"/>
      <family val="2"/>
    </font>
    <font>
      <i/>
      <sz val="8"/>
      <color theme="1"/>
      <name val="Arial"/>
      <family val="2"/>
    </font>
    <font>
      <sz val="26"/>
      <color theme="1"/>
      <name val="Arial"/>
      <family val="2"/>
    </font>
    <font>
      <b/>
      <sz val="18"/>
      <color rgb="FFF9F9F9"/>
      <name val="Arial"/>
      <family val="2"/>
    </font>
    <font>
      <sz val="18"/>
      <color rgb="FFF9F9F9"/>
      <name val="Arial"/>
      <family val="2"/>
    </font>
    <font>
      <sz val="12"/>
      <color rgb="FFFFFBF7"/>
      <name val="Arial"/>
      <family val="2"/>
    </font>
    <font>
      <sz val="16"/>
      <color theme="1"/>
      <name val="Arial"/>
      <family val="2"/>
    </font>
    <font>
      <b/>
      <sz val="16"/>
      <color theme="1"/>
      <name val="Arial"/>
      <family val="2"/>
    </font>
    <font>
      <sz val="18"/>
      <color theme="1"/>
      <name val="Calibri"/>
      <family val="2"/>
      <scheme val="minor"/>
    </font>
    <font>
      <sz val="11"/>
      <color theme="0"/>
      <name val="Calibri"/>
      <family val="2"/>
      <scheme val="minor"/>
    </font>
    <font>
      <sz val="12"/>
      <color theme="0"/>
      <name val="Arial"/>
      <family val="2"/>
    </font>
    <font>
      <sz val="11"/>
      <color theme="0"/>
      <name val="Arial"/>
      <family val="2"/>
    </font>
    <font>
      <b/>
      <sz val="22"/>
      <color rgb="FFC00000"/>
      <name val="Arial"/>
      <family val="2"/>
    </font>
    <font>
      <sz val="8"/>
      <color rgb="FF000000"/>
      <name val="Tahoma"/>
      <family val="2"/>
    </font>
    <font>
      <b/>
      <sz val="9"/>
      <color rgb="FFFF0000"/>
      <name val="Arial"/>
      <family val="2"/>
    </font>
    <font>
      <b/>
      <sz val="14"/>
      <color rgb="FFFF0000"/>
      <name val="Arial"/>
      <family val="2"/>
    </font>
    <font>
      <b/>
      <i/>
      <sz val="11"/>
      <color theme="1"/>
      <name val="Arial"/>
      <family val="2"/>
    </font>
    <font>
      <sz val="11"/>
      <color rgb="FF000000"/>
      <name val="Calibri"/>
      <family val="2"/>
    </font>
    <font>
      <b/>
      <sz val="12"/>
      <color rgb="FFF9F9F9"/>
      <name val="Arial"/>
      <family val="2"/>
    </font>
  </fonts>
  <fills count="6">
    <fill>
      <patternFill patternType="none"/>
    </fill>
    <fill>
      <patternFill patternType="gray125"/>
    </fill>
    <fill>
      <patternFill patternType="solid">
        <fgColor rgb="FFFFFBF7"/>
        <bgColor indexed="64"/>
      </patternFill>
    </fill>
    <fill>
      <patternFill patternType="solid">
        <fgColor rgb="FFBE311A"/>
        <bgColor indexed="64"/>
      </patternFill>
    </fill>
    <fill>
      <patternFill patternType="gray0625"/>
    </fill>
    <fill>
      <patternFill patternType="solid">
        <fgColor rgb="FFFFFF00"/>
        <bgColor indexed="64"/>
      </patternFill>
    </fill>
  </fills>
  <borders count="61">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double">
        <color indexed="64"/>
      </left>
      <right/>
      <top/>
      <bottom style="double">
        <color indexed="64"/>
      </bottom>
      <diagonal/>
    </border>
    <border>
      <left/>
      <right/>
      <top style="medium">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style="medium">
        <color indexed="64"/>
      </left>
      <right/>
      <top style="medium">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style="double">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double">
        <color indexed="64"/>
      </right>
      <top/>
      <bottom style="medium">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medium">
        <color indexed="64"/>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ck">
        <color indexed="64"/>
      </left>
      <right/>
      <top style="double">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style="medium">
        <color indexed="64"/>
      </left>
      <right style="medium">
        <color indexed="64"/>
      </right>
      <top/>
      <bottom/>
      <diagonal/>
    </border>
    <border>
      <left style="medium">
        <color indexed="64"/>
      </left>
      <right style="double">
        <color indexed="64"/>
      </right>
      <top/>
      <bottom/>
      <diagonal/>
    </border>
    <border>
      <left style="double">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style="medium">
        <color indexed="64"/>
      </left>
      <right style="double">
        <color indexed="64"/>
      </right>
      <top style="medium">
        <color indexed="64"/>
      </top>
      <bottom style="thick">
        <color indexed="64"/>
      </bottom>
      <diagonal/>
    </border>
  </borders>
  <cellStyleXfs count="1">
    <xf numFmtId="0" fontId="0" fillId="0" borderId="0"/>
  </cellStyleXfs>
  <cellXfs count="242">
    <xf numFmtId="0" fontId="0" fillId="0" borderId="0" xfId="0"/>
    <xf numFmtId="0" fontId="4" fillId="0" borderId="0" xfId="0" applyFont="1" applyProtection="1">
      <protection locked="0"/>
    </xf>
    <xf numFmtId="0" fontId="4" fillId="0" borderId="0" xfId="0" applyFont="1" applyBorder="1"/>
    <xf numFmtId="0" fontId="4" fillId="0" borderId="0" xfId="0" applyFont="1" applyBorder="1" applyProtection="1"/>
    <xf numFmtId="0" fontId="4" fillId="0" borderId="0" xfId="0" applyFont="1"/>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Border="1" applyAlignment="1">
      <alignment horizontal="center" vertical="center" wrapText="1"/>
    </xf>
    <xf numFmtId="0" fontId="6" fillId="0" borderId="0" xfId="0" applyFont="1" applyBorder="1" applyAlignment="1" applyProtection="1">
      <alignment horizontal="center" vertical="center" wrapText="1"/>
    </xf>
    <xf numFmtId="0" fontId="6" fillId="0" borderId="0" xfId="0" applyFont="1" applyFill="1" applyBorder="1" applyAlignment="1">
      <alignment horizontal="center" vertical="center" wrapText="1"/>
    </xf>
    <xf numFmtId="0" fontId="7" fillId="0" borderId="0" xfId="0" applyFont="1" applyAlignment="1">
      <alignment horizontal="center" vertical="center"/>
    </xf>
    <xf numFmtId="0" fontId="12" fillId="0" borderId="0" xfId="0" applyFont="1" applyProtection="1">
      <protection locked="0"/>
    </xf>
    <xf numFmtId="0" fontId="12" fillId="0" borderId="0" xfId="0" applyFont="1" applyBorder="1"/>
    <xf numFmtId="0" fontId="12" fillId="0" borderId="0" xfId="0" applyFont="1" applyBorder="1" applyProtection="1"/>
    <xf numFmtId="0" fontId="12" fillId="0" borderId="0" xfId="0" applyFont="1"/>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21" xfId="0" applyFont="1" applyBorder="1" applyAlignment="1">
      <alignment horizontal="center" vertical="center"/>
    </xf>
    <xf numFmtId="0" fontId="10" fillId="0" borderId="23" xfId="0" applyFont="1" applyBorder="1"/>
    <xf numFmtId="0" fontId="13" fillId="0" borderId="25" xfId="0" applyFont="1" applyBorder="1" applyAlignment="1">
      <alignment vertical="center"/>
    </xf>
    <xf numFmtId="0" fontId="16" fillId="0" borderId="10"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1" xfId="0" applyFont="1" applyBorder="1" applyAlignment="1">
      <alignment horizontal="center" vertical="center" wrapText="1"/>
    </xf>
    <xf numFmtId="0" fontId="4" fillId="0" borderId="0" xfId="0" applyFont="1" applyAlignment="1" applyProtection="1">
      <alignment horizontal="center" vertical="center"/>
      <protection locked="0"/>
    </xf>
    <xf numFmtId="0" fontId="16" fillId="0" borderId="0" xfId="0" applyFont="1" applyBorder="1" applyAlignment="1">
      <alignment horizontal="center" vertical="center" wrapText="1"/>
    </xf>
    <xf numFmtId="0" fontId="16" fillId="0" borderId="0" xfId="0" applyFont="1" applyBorder="1" applyAlignment="1" applyProtection="1">
      <alignment horizontal="center" vertical="center" wrapText="1"/>
    </xf>
    <xf numFmtId="0" fontId="16" fillId="0" borderId="0" xfId="0" applyFont="1" applyFill="1" applyBorder="1" applyAlignment="1">
      <alignment horizontal="center" vertical="center" wrapText="1"/>
    </xf>
    <xf numFmtId="0" fontId="4" fillId="0" borderId="0" xfId="0" applyFont="1" applyAlignment="1">
      <alignment horizontal="center" vertical="center"/>
    </xf>
    <xf numFmtId="0" fontId="15" fillId="0" borderId="10" xfId="0" applyFont="1" applyBorder="1" applyAlignment="1">
      <alignment vertical="top" wrapText="1"/>
    </xf>
    <xf numFmtId="0" fontId="17" fillId="0" borderId="2" xfId="0" applyFont="1" applyBorder="1" applyAlignment="1">
      <alignment vertical="top" wrapText="1"/>
    </xf>
    <xf numFmtId="0" fontId="17" fillId="0" borderId="26" xfId="0" applyFont="1" applyBorder="1" applyAlignment="1">
      <alignment vertical="top" wrapText="1"/>
    </xf>
    <xf numFmtId="0" fontId="15" fillId="0" borderId="12" xfId="0" applyFont="1" applyBorder="1" applyAlignment="1">
      <alignment vertical="top" wrapText="1"/>
    </xf>
    <xf numFmtId="0" fontId="15" fillId="0" borderId="30" xfId="0" applyFont="1" applyBorder="1" applyAlignment="1">
      <alignment vertical="top" wrapText="1"/>
    </xf>
    <xf numFmtId="0" fontId="4" fillId="0" borderId="0" xfId="0" applyNumberFormat="1" applyFont="1" applyProtection="1">
      <protection locked="0"/>
    </xf>
    <xf numFmtId="0" fontId="15" fillId="0" borderId="2" xfId="0" applyFont="1" applyBorder="1" applyAlignment="1">
      <alignment vertical="top" wrapText="1"/>
    </xf>
    <xf numFmtId="0" fontId="15" fillId="0" borderId="26" xfId="0" applyFont="1" applyBorder="1" applyAlignment="1">
      <alignment vertical="top" wrapText="1"/>
    </xf>
    <xf numFmtId="0" fontId="15" fillId="0" borderId="37" xfId="0" applyFont="1" applyBorder="1" applyAlignment="1">
      <alignment vertical="top" wrapText="1"/>
    </xf>
    <xf numFmtId="0" fontId="15" fillId="0" borderId="2" xfId="0" applyFont="1" applyFill="1" applyBorder="1" applyAlignment="1">
      <alignment vertical="top" wrapText="1"/>
    </xf>
    <xf numFmtId="0" fontId="15" fillId="0" borderId="38" xfId="0" applyFont="1" applyBorder="1" applyAlignment="1">
      <alignment vertical="top" wrapText="1"/>
    </xf>
    <xf numFmtId="0" fontId="18" fillId="0" borderId="2" xfId="0" applyFont="1" applyBorder="1" applyAlignment="1">
      <alignment vertical="top" wrapText="1"/>
    </xf>
    <xf numFmtId="0" fontId="18" fillId="0" borderId="26" xfId="0" applyFont="1" applyBorder="1" applyAlignment="1">
      <alignment vertical="top" wrapText="1"/>
    </xf>
    <xf numFmtId="0" fontId="5" fillId="0" borderId="20" xfId="0" applyFont="1" applyBorder="1" applyAlignment="1">
      <alignment vertical="top" wrapText="1"/>
    </xf>
    <xf numFmtId="0" fontId="5" fillId="0" borderId="29" xfId="0" applyFont="1" applyBorder="1" applyAlignment="1">
      <alignment vertical="top" wrapText="1"/>
    </xf>
    <xf numFmtId="0" fontId="7" fillId="0" borderId="18" xfId="0" applyFont="1" applyBorder="1" applyAlignment="1">
      <alignment vertical="top" wrapText="1"/>
    </xf>
    <xf numFmtId="0" fontId="5" fillId="0" borderId="31" xfId="0" applyFont="1" applyBorder="1" applyAlignment="1">
      <alignment vertical="top" wrapText="1"/>
    </xf>
    <xf numFmtId="0" fontId="7" fillId="0" borderId="32" xfId="0" applyFont="1" applyBorder="1" applyAlignment="1">
      <alignment vertical="top" wrapText="1"/>
    </xf>
    <xf numFmtId="0" fontId="5" fillId="0" borderId="28" xfId="0" applyFont="1" applyBorder="1" applyAlignment="1">
      <alignment vertical="top" wrapText="1"/>
    </xf>
    <xf numFmtId="0" fontId="7" fillId="0" borderId="21" xfId="0" applyFont="1" applyBorder="1" applyAlignment="1">
      <alignment vertical="top" wrapText="1"/>
    </xf>
    <xf numFmtId="0" fontId="5" fillId="0" borderId="3" xfId="0" applyFont="1" applyBorder="1" applyAlignment="1">
      <alignment vertical="top" wrapText="1"/>
    </xf>
    <xf numFmtId="0" fontId="6" fillId="0" borderId="22" xfId="0" applyFont="1" applyBorder="1" applyAlignment="1">
      <alignment vertical="top" wrapText="1"/>
    </xf>
    <xf numFmtId="0" fontId="7" fillId="0" borderId="27" xfId="0" applyFont="1" applyBorder="1" applyAlignment="1">
      <alignment vertical="top" wrapText="1"/>
    </xf>
    <xf numFmtId="164" fontId="20" fillId="0" borderId="17" xfId="0" applyNumberFormat="1" applyFont="1" applyBorder="1" applyAlignment="1">
      <alignment horizontal="center" vertical="top" wrapText="1"/>
    </xf>
    <xf numFmtId="0" fontId="22" fillId="0" borderId="0" xfId="0" applyFont="1" applyFill="1" applyBorder="1" applyAlignment="1">
      <alignment vertical="top" wrapText="1"/>
    </xf>
    <xf numFmtId="0" fontId="23" fillId="0" borderId="0" xfId="0" applyFont="1" applyBorder="1" applyAlignment="1">
      <alignment horizontal="center"/>
    </xf>
    <xf numFmtId="0" fontId="23" fillId="0" borderId="0" xfId="0" applyNumberFormat="1" applyFont="1" applyBorder="1" applyAlignment="1">
      <alignment horizontal="center"/>
    </xf>
    <xf numFmtId="0" fontId="23" fillId="0" borderId="0" xfId="0" applyFont="1" applyProtection="1">
      <protection locked="0"/>
    </xf>
    <xf numFmtId="0" fontId="23" fillId="0" borderId="0" xfId="0" applyFont="1" applyBorder="1"/>
    <xf numFmtId="0" fontId="23" fillId="0" borderId="0" xfId="0" applyFont="1" applyBorder="1" applyProtection="1"/>
    <xf numFmtId="0" fontId="23" fillId="0" borderId="0" xfId="0" applyFont="1"/>
    <xf numFmtId="0" fontId="14" fillId="0" borderId="0" xfId="0" applyFont="1" applyFill="1" applyBorder="1" applyAlignment="1">
      <alignment vertical="top" wrapText="1"/>
    </xf>
    <xf numFmtId="0" fontId="15" fillId="0" borderId="0" xfId="0" applyFont="1" applyFill="1" applyBorder="1" applyAlignment="1">
      <alignment vertical="top" wrapText="1"/>
    </xf>
    <xf numFmtId="0" fontId="16" fillId="0" borderId="0" xfId="0" applyFont="1" applyBorder="1" applyAlignment="1">
      <alignment horizontal="center" vertical="top" wrapText="1"/>
    </xf>
    <xf numFmtId="0" fontId="25" fillId="0" borderId="0" xfId="0" applyFont="1" applyFill="1" applyBorder="1" applyAlignment="1" applyProtection="1">
      <alignment horizontal="center" vertical="center" wrapText="1"/>
      <protection locked="0"/>
    </xf>
    <xf numFmtId="0" fontId="25" fillId="0" borderId="0" xfId="0" applyFont="1" applyFill="1" applyBorder="1" applyAlignment="1">
      <alignment horizontal="center" vertical="center" wrapText="1"/>
    </xf>
    <xf numFmtId="0" fontId="12" fillId="0" borderId="13" xfId="0" applyFont="1" applyBorder="1"/>
    <xf numFmtId="0" fontId="14" fillId="0" borderId="15" xfId="0" applyFont="1" applyBorder="1" applyAlignment="1">
      <alignment horizontal="center"/>
    </xf>
    <xf numFmtId="0" fontId="14" fillId="0" borderId="16" xfId="0" applyFont="1" applyBorder="1" applyAlignment="1">
      <alignment horizontal="center"/>
    </xf>
    <xf numFmtId="0" fontId="21" fillId="0" borderId="0" xfId="0" applyFont="1" applyProtection="1">
      <protection locked="0"/>
    </xf>
    <xf numFmtId="0" fontId="21" fillId="0" borderId="0" xfId="0" applyFont="1" applyBorder="1"/>
    <xf numFmtId="0" fontId="21" fillId="0" borderId="0" xfId="0" applyFont="1" applyBorder="1" applyProtection="1"/>
    <xf numFmtId="0" fontId="21" fillId="0" borderId="0" xfId="0" applyFont="1"/>
    <xf numFmtId="0" fontId="12" fillId="0" borderId="39" xfId="0" applyFont="1" applyBorder="1"/>
    <xf numFmtId="0" fontId="12" fillId="2" borderId="41" xfId="0" applyFont="1" applyFill="1" applyBorder="1" applyAlignment="1" applyProtection="1">
      <alignment horizontal="center" vertical="center"/>
      <protection locked="0"/>
    </xf>
    <xf numFmtId="0" fontId="12" fillId="0" borderId="42" xfId="0" applyFont="1" applyBorder="1"/>
    <xf numFmtId="0" fontId="12" fillId="2" borderId="44" xfId="0" applyFont="1" applyFill="1" applyBorder="1" applyAlignment="1" applyProtection="1">
      <alignment horizontal="center" vertical="center"/>
      <protection locked="0"/>
    </xf>
    <xf numFmtId="0" fontId="12" fillId="0" borderId="45" xfId="0" applyFont="1" applyBorder="1"/>
    <xf numFmtId="0" fontId="12" fillId="0" borderId="8" xfId="0" applyFont="1" applyBorder="1"/>
    <xf numFmtId="0" fontId="14" fillId="0" borderId="13" xfId="0" applyFont="1" applyBorder="1" applyAlignment="1">
      <alignment vertical="top" wrapText="1"/>
    </xf>
    <xf numFmtId="0" fontId="4" fillId="0" borderId="0" xfId="0" applyFont="1" applyBorder="1"/>
    <xf numFmtId="0" fontId="18" fillId="0" borderId="2" xfId="0" applyFont="1" applyFill="1" applyBorder="1" applyAlignment="1">
      <alignment vertical="top" wrapText="1"/>
    </xf>
    <xf numFmtId="0" fontId="4" fillId="0" borderId="0" xfId="0" applyFont="1" applyBorder="1"/>
    <xf numFmtId="0" fontId="25" fillId="0" borderId="0" xfId="0" applyFont="1" applyFill="1" applyBorder="1" applyAlignment="1">
      <alignment horizontal="center" vertical="center" wrapText="1"/>
    </xf>
    <xf numFmtId="0" fontId="15" fillId="0" borderId="0" xfId="0" applyFont="1" applyFill="1" applyBorder="1" applyAlignment="1">
      <alignment vertical="top" wrapText="1"/>
    </xf>
    <xf numFmtId="0" fontId="15" fillId="0" borderId="0" xfId="0" applyFont="1" applyFill="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14" fillId="0" borderId="0" xfId="0" applyFont="1" applyBorder="1" applyAlignment="1">
      <alignment horizontal="center"/>
    </xf>
    <xf numFmtId="0" fontId="13" fillId="0" borderId="0" xfId="0" applyFont="1" applyBorder="1" applyAlignment="1">
      <alignment vertical="center"/>
    </xf>
    <xf numFmtId="0" fontId="15" fillId="0" borderId="0" xfId="0" applyFont="1" applyBorder="1" applyAlignment="1">
      <alignment vertical="top" wrapText="1"/>
    </xf>
    <xf numFmtId="0" fontId="21" fillId="0" borderId="0" xfId="0" applyFont="1" applyBorder="1" applyAlignment="1">
      <alignment horizontal="center"/>
    </xf>
    <xf numFmtId="49" fontId="13" fillId="0" borderId="0" xfId="0" applyNumberFormat="1" applyFont="1" applyBorder="1" applyAlignment="1" applyProtection="1">
      <alignment vertical="center"/>
      <protection locked="0"/>
    </xf>
    <xf numFmtId="0" fontId="15" fillId="0" borderId="0" xfId="0" applyFont="1" applyFill="1" applyBorder="1" applyAlignment="1">
      <alignment vertical="top" wrapText="1"/>
    </xf>
    <xf numFmtId="0" fontId="15" fillId="0" borderId="22" xfId="0" applyFont="1" applyBorder="1" applyAlignment="1">
      <alignment vertical="top" wrapText="1"/>
    </xf>
    <xf numFmtId="0" fontId="17" fillId="0" borderId="49" xfId="0" applyFont="1" applyBorder="1" applyAlignment="1">
      <alignment vertical="top" wrapText="1"/>
    </xf>
    <xf numFmtId="0" fontId="17" fillId="0" borderId="27" xfId="0" applyFont="1" applyBorder="1" applyAlignment="1">
      <alignment vertical="top" wrapText="1"/>
    </xf>
    <xf numFmtId="0" fontId="15" fillId="0" borderId="17" xfId="0" applyFont="1" applyBorder="1" applyAlignment="1">
      <alignment vertical="top" wrapText="1"/>
    </xf>
    <xf numFmtId="0" fontId="6" fillId="0" borderId="10" xfId="0" applyFont="1" applyBorder="1" applyAlignment="1">
      <alignment wrapText="1"/>
    </xf>
    <xf numFmtId="0" fontId="6" fillId="0" borderId="37" xfId="0" applyFont="1" applyBorder="1" applyAlignment="1">
      <alignment vertical="top" wrapText="1"/>
    </xf>
    <xf numFmtId="0" fontId="19" fillId="0" borderId="51" xfId="0" applyFont="1" applyBorder="1" applyAlignment="1">
      <alignment vertical="top" wrapText="1"/>
    </xf>
    <xf numFmtId="0" fontId="14" fillId="0" borderId="29" xfId="0" applyFont="1" applyBorder="1" applyAlignment="1">
      <alignment vertical="top" wrapText="1"/>
    </xf>
    <xf numFmtId="0" fontId="18" fillId="0" borderId="55" xfId="0" applyFont="1" applyBorder="1" applyAlignment="1">
      <alignment vertical="top" wrapText="1"/>
    </xf>
    <xf numFmtId="0" fontId="18" fillId="0" borderId="50" xfId="0" applyFont="1" applyBorder="1" applyAlignment="1">
      <alignment vertical="top" wrapText="1"/>
    </xf>
    <xf numFmtId="0" fontId="15" fillId="0" borderId="56" xfId="0" applyFont="1" applyBorder="1" applyAlignment="1">
      <alignment vertical="top" wrapText="1"/>
    </xf>
    <xf numFmtId="0" fontId="15" fillId="0" borderId="57" xfId="0" applyFont="1" applyBorder="1" applyAlignment="1">
      <alignment vertical="top" wrapText="1"/>
    </xf>
    <xf numFmtId="0" fontId="17" fillId="0" borderId="58" xfId="0" applyFont="1" applyBorder="1" applyAlignment="1">
      <alignment vertical="top" wrapText="1"/>
    </xf>
    <xf numFmtId="0" fontId="17" fillId="0" borderId="59" xfId="0" applyFont="1" applyBorder="1" applyAlignment="1">
      <alignment vertical="top" wrapText="1"/>
    </xf>
    <xf numFmtId="0" fontId="15" fillId="0" borderId="60" xfId="0" applyFont="1" applyBorder="1" applyAlignment="1">
      <alignment vertical="top" wrapText="1"/>
    </xf>
    <xf numFmtId="0" fontId="4" fillId="0" borderId="23" xfId="0" applyFont="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4" fillId="0" borderId="0" xfId="0" applyFont="1" applyBorder="1"/>
    <xf numFmtId="0" fontId="4" fillId="0" borderId="0" xfId="0" applyFont="1" applyBorder="1"/>
    <xf numFmtId="0" fontId="12" fillId="0" borderId="0" xfId="0" applyFont="1" applyBorder="1"/>
    <xf numFmtId="0" fontId="12" fillId="0" borderId="35" xfId="0" applyFont="1" applyBorder="1" applyAlignment="1">
      <alignment vertical="top" wrapText="1"/>
    </xf>
    <xf numFmtId="0" fontId="12" fillId="0" borderId="0" xfId="0" applyFont="1" applyBorder="1"/>
    <xf numFmtId="0" fontId="15" fillId="0" borderId="0" xfId="0" applyFont="1" applyFill="1" applyBorder="1" applyAlignment="1">
      <alignment vertical="top" wrapText="1"/>
    </xf>
    <xf numFmtId="0" fontId="4" fillId="0" borderId="0" xfId="0" applyFont="1" applyBorder="1"/>
    <xf numFmtId="0" fontId="28" fillId="2" borderId="10"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1" xfId="0" applyFont="1" applyFill="1" applyBorder="1" applyAlignment="1" applyProtection="1">
      <alignment horizontal="center" vertical="center"/>
    </xf>
    <xf numFmtId="0" fontId="12" fillId="2" borderId="10" xfId="0" applyFont="1" applyFill="1" applyBorder="1" applyAlignment="1" applyProtection="1">
      <alignment horizontal="center" vertical="center"/>
    </xf>
    <xf numFmtId="0" fontId="12" fillId="4" borderId="3" xfId="0" applyFont="1" applyFill="1" applyBorder="1" applyAlignment="1" applyProtection="1">
      <alignment horizontal="center" vertical="center"/>
    </xf>
    <xf numFmtId="0" fontId="12" fillId="4" borderId="10" xfId="0" applyFont="1" applyFill="1" applyBorder="1" applyAlignment="1" applyProtection="1">
      <alignment horizontal="center" vertical="center"/>
    </xf>
    <xf numFmtId="0" fontId="4" fillId="0" borderId="0" xfId="0" applyFont="1" applyBorder="1"/>
    <xf numFmtId="0" fontId="4" fillId="0" borderId="0" xfId="0" applyFont="1" applyBorder="1"/>
    <xf numFmtId="49" fontId="32" fillId="0" borderId="0" xfId="0" applyNumberFormat="1" applyFont="1"/>
    <xf numFmtId="0" fontId="12" fillId="0" borderId="0" xfId="0" applyFont="1" applyBorder="1"/>
    <xf numFmtId="0" fontId="4" fillId="0" borderId="0" xfId="0" applyFont="1" applyBorder="1"/>
    <xf numFmtId="0" fontId="33" fillId="0" borderId="0" xfId="0" applyFont="1" applyProtection="1">
      <protection locked="0"/>
    </xf>
    <xf numFmtId="0" fontId="34" fillId="0" borderId="0" xfId="0" applyFont="1" applyProtection="1">
      <protection locked="0"/>
    </xf>
    <xf numFmtId="0" fontId="4" fillId="0" borderId="0" xfId="0" applyFont="1" applyBorder="1"/>
    <xf numFmtId="0" fontId="12" fillId="0" borderId="0" xfId="0" applyFont="1" applyBorder="1"/>
    <xf numFmtId="0" fontId="12" fillId="0" borderId="0" xfId="0" applyFont="1" applyBorder="1"/>
    <xf numFmtId="0" fontId="4" fillId="0" borderId="0" xfId="0" applyFont="1" applyBorder="1"/>
    <xf numFmtId="0" fontId="4" fillId="0" borderId="0" xfId="0" applyFont="1" applyBorder="1"/>
    <xf numFmtId="2" fontId="4" fillId="0" borderId="0" xfId="0" applyNumberFormat="1" applyFont="1" applyBorder="1"/>
    <xf numFmtId="0" fontId="16" fillId="0" borderId="0" xfId="0" applyFont="1"/>
    <xf numFmtId="0" fontId="37" fillId="0" borderId="19" xfId="0" applyFont="1" applyBorder="1" applyAlignment="1">
      <alignment vertical="top" wrapText="1"/>
    </xf>
    <xf numFmtId="0" fontId="37" fillId="0" borderId="30" xfId="0" applyFont="1" applyBorder="1" applyAlignment="1">
      <alignment vertical="top" wrapText="1"/>
    </xf>
    <xf numFmtId="0" fontId="37" fillId="0" borderId="10" xfId="0" applyFont="1" applyBorder="1" applyAlignment="1">
      <alignment vertical="top" wrapText="1"/>
    </xf>
    <xf numFmtId="0" fontId="38" fillId="5" borderId="20" xfId="0" applyFont="1" applyFill="1" applyBorder="1" applyAlignment="1">
      <alignment vertical="top" wrapText="1"/>
    </xf>
    <xf numFmtId="0" fontId="12" fillId="0" borderId="0" xfId="0" applyFont="1" applyFill="1" applyProtection="1">
      <protection locked="0"/>
    </xf>
    <xf numFmtId="0" fontId="4" fillId="0" borderId="0" xfId="0" applyFont="1" applyBorder="1"/>
    <xf numFmtId="0" fontId="12" fillId="0" borderId="0" xfId="0" applyFont="1" applyBorder="1"/>
    <xf numFmtId="0" fontId="12" fillId="0" borderId="0" xfId="0" applyFont="1" applyBorder="1"/>
    <xf numFmtId="0" fontId="4" fillId="0" borderId="0" xfId="0" applyFont="1" applyBorder="1"/>
    <xf numFmtId="0" fontId="12" fillId="0" borderId="0" xfId="0" applyFont="1" applyBorder="1"/>
    <xf numFmtId="165" fontId="12" fillId="0" borderId="0" xfId="0" applyNumberFormat="1" applyFont="1" applyProtection="1">
      <protection locked="0"/>
    </xf>
    <xf numFmtId="0" fontId="10" fillId="0" borderId="23" xfId="0" applyFont="1" applyBorder="1" applyAlignment="1">
      <alignment horizontal="center"/>
    </xf>
    <xf numFmtId="0" fontId="10" fillId="0" borderId="24" xfId="0" applyFont="1" applyBorder="1" applyAlignment="1">
      <alignment horizontal="center"/>
    </xf>
    <xf numFmtId="49" fontId="29" fillId="0" borderId="54" xfId="0" applyNumberFormat="1" applyFont="1" applyBorder="1" applyAlignment="1">
      <alignment vertical="center" wrapText="1"/>
    </xf>
    <xf numFmtId="49" fontId="29" fillId="0" borderId="15" xfId="0" applyNumberFormat="1" applyFont="1" applyBorder="1" applyAlignment="1">
      <alignment vertical="center" wrapText="1"/>
    </xf>
    <xf numFmtId="0" fontId="5" fillId="0" borderId="15" xfId="0" applyFont="1" applyBorder="1" applyAlignment="1">
      <alignment horizontal="center" wrapText="1"/>
    </xf>
    <xf numFmtId="0" fontId="5" fillId="0" borderId="16" xfId="0" applyFont="1" applyBorder="1" applyAlignment="1">
      <alignment horizontal="center" wrapText="1"/>
    </xf>
    <xf numFmtId="49" fontId="29" fillId="0" borderId="26" xfId="0" applyNumberFormat="1" applyFont="1" applyBorder="1" applyAlignment="1">
      <alignment vertical="center" wrapText="1"/>
    </xf>
    <xf numFmtId="49" fontId="29" fillId="0" borderId="52" xfId="0" applyNumberFormat="1" applyFont="1" applyBorder="1" applyAlignment="1">
      <alignment vertical="center" wrapText="1"/>
    </xf>
    <xf numFmtId="0" fontId="5" fillId="0" borderId="52" xfId="0" applyFont="1" applyBorder="1" applyAlignment="1">
      <alignment horizontal="center" wrapText="1"/>
    </xf>
    <xf numFmtId="0" fontId="5" fillId="0" borderId="53" xfId="0" applyFont="1" applyBorder="1" applyAlignment="1">
      <alignment horizontal="center" wrapText="1"/>
    </xf>
    <xf numFmtId="49" fontId="29" fillId="0" borderId="50" xfId="0" applyNumberFormat="1" applyFont="1" applyBorder="1" applyAlignment="1">
      <alignment vertical="center" wrapText="1"/>
    </xf>
    <xf numFmtId="49" fontId="29" fillId="0" borderId="0" xfId="0" applyNumberFormat="1" applyFont="1" applyBorder="1" applyAlignment="1">
      <alignment vertical="center" wrapText="1"/>
    </xf>
    <xf numFmtId="0" fontId="5" fillId="0" borderId="0" xfId="0" applyFont="1" applyBorder="1" applyAlignment="1">
      <alignment horizontal="center" wrapText="1"/>
    </xf>
    <xf numFmtId="0" fontId="5" fillId="0" borderId="9" xfId="0" applyFont="1" applyBorder="1" applyAlignment="1">
      <alignment horizontal="center" wrapText="1"/>
    </xf>
    <xf numFmtId="0" fontId="30" fillId="0" borderId="29" xfId="0" applyFont="1" applyBorder="1" applyAlignment="1">
      <alignment vertical="top" wrapText="1"/>
    </xf>
    <xf numFmtId="0" fontId="29" fillId="0" borderId="35" xfId="0" applyFont="1" applyBorder="1" applyAlignment="1">
      <alignment vertical="top" wrapText="1"/>
    </xf>
    <xf numFmtId="0" fontId="4" fillId="0" borderId="24" xfId="0" applyFont="1" applyBorder="1"/>
    <xf numFmtId="0" fontId="10" fillId="0" borderId="24" xfId="0" applyFont="1" applyBorder="1"/>
    <xf numFmtId="0" fontId="26" fillId="3" borderId="23" xfId="0" applyFont="1" applyFill="1" applyBorder="1" applyAlignment="1">
      <alignment horizontal="center" vertical="center"/>
    </xf>
    <xf numFmtId="0" fontId="26" fillId="3" borderId="24" xfId="0" applyFont="1" applyFill="1" applyBorder="1" applyAlignment="1">
      <alignment horizontal="center" vertical="center"/>
    </xf>
    <xf numFmtId="0" fontId="26" fillId="3" borderId="25" xfId="0" applyFont="1" applyFill="1" applyBorder="1" applyAlignment="1">
      <alignment horizontal="center" vertical="center"/>
    </xf>
    <xf numFmtId="0" fontId="12" fillId="0" borderId="28" xfId="0" applyFont="1" applyBorder="1" applyAlignment="1">
      <alignment vertical="top" wrapText="1"/>
    </xf>
    <xf numFmtId="0" fontId="12" fillId="0" borderId="1" xfId="0" applyFont="1" applyBorder="1" applyAlignment="1">
      <alignment vertical="top" wrapText="1"/>
    </xf>
    <xf numFmtId="0" fontId="12" fillId="0" borderId="33" xfId="0" applyNumberFormat="1" applyFont="1" applyBorder="1" applyAlignment="1">
      <alignment vertical="top" wrapText="1"/>
    </xf>
    <xf numFmtId="0" fontId="12" fillId="0" borderId="24" xfId="0" applyNumberFormat="1" applyFont="1" applyBorder="1" applyAlignment="1">
      <alignment vertical="top" wrapText="1"/>
    </xf>
    <xf numFmtId="0" fontId="12" fillId="0" borderId="33" xfId="0" applyFont="1" applyBorder="1" applyAlignment="1">
      <alignment vertical="top" wrapText="1"/>
    </xf>
    <xf numFmtId="0" fontId="12" fillId="0" borderId="34" xfId="0" applyFont="1" applyBorder="1" applyAlignment="1">
      <alignment vertical="top" wrapText="1"/>
    </xf>
    <xf numFmtId="0" fontId="12" fillId="0" borderId="29" xfId="0" applyFont="1" applyBorder="1" applyAlignment="1">
      <alignment vertical="top" wrapText="1"/>
    </xf>
    <xf numFmtId="0" fontId="12" fillId="0" borderId="35" xfId="0" applyFont="1" applyBorder="1" applyAlignment="1">
      <alignment vertical="top" wrapText="1"/>
    </xf>
    <xf numFmtId="0" fontId="19" fillId="0" borderId="27" xfId="0" applyFont="1" applyBorder="1" applyAlignment="1">
      <alignment vertical="top" wrapText="1"/>
    </xf>
    <xf numFmtId="0" fontId="19" fillId="0" borderId="14" xfId="0" applyFont="1" applyBorder="1" applyAlignment="1">
      <alignment vertical="top" wrapText="1"/>
    </xf>
    <xf numFmtId="0" fontId="19" fillId="0" borderId="36" xfId="0" applyFont="1" applyBorder="1" applyAlignment="1">
      <alignment vertical="top" wrapText="1"/>
    </xf>
    <xf numFmtId="0" fontId="8" fillId="3" borderId="23"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35" fillId="0" borderId="23" xfId="0" applyFont="1" applyBorder="1" applyAlignment="1">
      <alignment vertical="center"/>
    </xf>
    <xf numFmtId="0" fontId="35" fillId="0" borderId="24" xfId="0" applyFont="1" applyBorder="1" applyAlignment="1">
      <alignment vertical="center"/>
    </xf>
    <xf numFmtId="0" fontId="35" fillId="0" borderId="25" xfId="0" applyFont="1" applyBorder="1" applyAlignment="1">
      <alignment vertical="center"/>
    </xf>
    <xf numFmtId="0" fontId="4" fillId="0" borderId="8" xfId="0" applyFont="1" applyBorder="1"/>
    <xf numFmtId="0" fontId="4" fillId="0" borderId="0" xfId="0" applyFont="1" applyBorder="1"/>
    <xf numFmtId="49" fontId="11" fillId="0" borderId="0" xfId="0" applyNumberFormat="1" applyFont="1" applyBorder="1" applyProtection="1">
      <protection locked="0"/>
    </xf>
    <xf numFmtId="49" fontId="11" fillId="0" borderId="9" xfId="0" applyNumberFormat="1" applyFont="1" applyBorder="1" applyProtection="1">
      <protection locked="0"/>
    </xf>
    <xf numFmtId="0" fontId="12" fillId="0" borderId="40" xfId="0" applyFont="1" applyBorder="1"/>
    <xf numFmtId="0" fontId="12" fillId="0" borderId="43" xfId="0" applyFont="1" applyBorder="1"/>
    <xf numFmtId="0" fontId="12" fillId="0" borderId="46" xfId="0" applyFont="1" applyBorder="1"/>
    <xf numFmtId="0" fontId="12" fillId="0" borderId="47" xfId="0" applyFont="1" applyBorder="1"/>
    <xf numFmtId="0" fontId="12" fillId="0" borderId="0" xfId="0" applyFont="1" applyBorder="1"/>
    <xf numFmtId="0" fontId="12" fillId="0" borderId="9" xfId="0" applyFont="1" applyBorder="1"/>
    <xf numFmtId="0" fontId="15" fillId="2" borderId="24" xfId="0" applyFont="1" applyFill="1" applyBorder="1" applyAlignment="1" applyProtection="1">
      <alignment vertical="top" wrapText="1"/>
    </xf>
    <xf numFmtId="0" fontId="15" fillId="2" borderId="25" xfId="0" applyFont="1" applyFill="1" applyBorder="1" applyAlignment="1" applyProtection="1">
      <alignment vertical="top" wrapText="1"/>
    </xf>
    <xf numFmtId="0" fontId="8" fillId="3" borderId="13"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27" fillId="3" borderId="24" xfId="0" applyFont="1" applyFill="1" applyBorder="1" applyAlignment="1">
      <alignment horizontal="center" vertical="center"/>
    </xf>
    <xf numFmtId="0" fontId="27" fillId="3" borderId="25" xfId="0" applyFont="1" applyFill="1" applyBorder="1" applyAlignment="1">
      <alignment horizontal="center" vertical="center"/>
    </xf>
    <xf numFmtId="0" fontId="10" fillId="0" borderId="23" xfId="0" applyFont="1" applyBorder="1" applyProtection="1"/>
    <xf numFmtId="0" fontId="10" fillId="0" borderId="24" xfId="0" applyFont="1" applyBorder="1" applyProtection="1"/>
    <xf numFmtId="0" fontId="13" fillId="0" borderId="24" xfId="0" applyFont="1" applyBorder="1" applyAlignment="1" applyProtection="1">
      <alignment vertical="center"/>
    </xf>
    <xf numFmtId="0" fontId="13" fillId="0" borderId="25" xfId="0" applyFont="1" applyBorder="1" applyAlignment="1" applyProtection="1">
      <alignment vertical="center"/>
    </xf>
    <xf numFmtId="0" fontId="26" fillId="3" borderId="5"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15" fillId="2" borderId="48" xfId="0" applyFont="1" applyFill="1" applyBorder="1" applyAlignment="1" applyProtection="1">
      <alignment vertical="top" wrapText="1"/>
    </xf>
    <xf numFmtId="0" fontId="25" fillId="0" borderId="0" xfId="0" applyFont="1" applyFill="1" applyBorder="1" applyAlignment="1">
      <alignment horizontal="center" vertical="center" wrapText="1"/>
    </xf>
    <xf numFmtId="0" fontId="15" fillId="0" borderId="0" xfId="0" applyFont="1" applyFill="1" applyBorder="1" applyAlignment="1">
      <alignment vertical="top" wrapText="1"/>
    </xf>
    <xf numFmtId="0" fontId="21" fillId="0" borderId="6" xfId="0" applyFont="1" applyBorder="1" applyAlignment="1">
      <alignment horizontal="center"/>
    </xf>
    <xf numFmtId="0" fontId="31" fillId="0" borderId="0" xfId="0" applyNumberFormat="1" applyFont="1" applyAlignment="1">
      <alignment horizontal="left"/>
    </xf>
    <xf numFmtId="0" fontId="31" fillId="0" borderId="0" xfId="0" applyNumberFormat="1" applyFont="1"/>
    <xf numFmtId="49" fontId="31" fillId="0" borderId="0" xfId="0" applyNumberFormat="1" applyFont="1" applyAlignment="1">
      <alignment horizontal="left"/>
    </xf>
    <xf numFmtId="0" fontId="26" fillId="3" borderId="0" xfId="0" applyFont="1" applyFill="1" applyBorder="1" applyAlignment="1">
      <alignment horizontal="center" vertical="center"/>
    </xf>
    <xf numFmtId="49" fontId="31" fillId="0" borderId="0" xfId="0" applyNumberFormat="1" applyFont="1"/>
    <xf numFmtId="0" fontId="0" fillId="0" borderId="6" xfId="0" applyBorder="1"/>
    <xf numFmtId="0" fontId="0" fillId="0" borderId="7" xfId="0" applyBorder="1"/>
    <xf numFmtId="49" fontId="11" fillId="0" borderId="0" xfId="0" applyNumberFormat="1" applyFont="1" applyBorder="1" applyProtection="1"/>
    <xf numFmtId="0" fontId="11" fillId="0" borderId="0" xfId="0" applyNumberFormat="1" applyFont="1" applyBorder="1" applyProtection="1"/>
    <xf numFmtId="0" fontId="11" fillId="0" borderId="9" xfId="0" applyNumberFormat="1" applyFont="1" applyBorder="1" applyProtection="1"/>
    <xf numFmtId="165" fontId="11" fillId="0" borderId="0" xfId="0" applyNumberFormat="1" applyFont="1" applyBorder="1" applyProtection="1"/>
    <xf numFmtId="165" fontId="11" fillId="0" borderId="9" xfId="0" applyNumberFormat="1" applyFont="1" applyBorder="1" applyProtection="1"/>
    <xf numFmtId="49" fontId="41" fillId="3" borderId="23" xfId="0" applyNumberFormat="1" applyFont="1" applyFill="1" applyBorder="1" applyAlignment="1">
      <alignment horizontal="left" vertical="center" wrapText="1" indent="15" readingOrder="1"/>
    </xf>
    <xf numFmtId="49" fontId="41" fillId="3" borderId="24" xfId="0" applyNumberFormat="1" applyFont="1" applyFill="1" applyBorder="1" applyAlignment="1">
      <alignment horizontal="left" vertical="center" wrapText="1" indent="15" readingOrder="1"/>
    </xf>
    <xf numFmtId="49" fontId="41" fillId="3" borderId="25" xfId="0" applyNumberFormat="1" applyFont="1" applyFill="1" applyBorder="1" applyAlignment="1">
      <alignment horizontal="left" vertical="center" wrapText="1" indent="15" readingOrder="1"/>
    </xf>
    <xf numFmtId="0" fontId="11" fillId="0" borderId="0" xfId="0" applyNumberFormat="1" applyFont="1" applyBorder="1" applyProtection="1">
      <protection locked="0"/>
    </xf>
    <xf numFmtId="0" fontId="11" fillId="0" borderId="9" xfId="0" applyNumberFormat="1" applyFont="1" applyBorder="1" applyProtection="1">
      <protection locked="0"/>
    </xf>
    <xf numFmtId="165" fontId="11" fillId="0" borderId="0" xfId="0" applyNumberFormat="1" applyFont="1" applyBorder="1" applyAlignment="1" applyProtection="1">
      <alignment horizontal="left"/>
      <protection locked="0"/>
    </xf>
    <xf numFmtId="165" fontId="11" fillId="0" borderId="9" xfId="0" applyNumberFormat="1" applyFont="1" applyBorder="1" applyAlignment="1" applyProtection="1">
      <alignment horizontal="left"/>
      <protection locked="0"/>
    </xf>
    <xf numFmtId="0" fontId="11" fillId="0" borderId="0" xfId="0" applyNumberFormat="1" applyFont="1" applyBorder="1" applyAlignment="1" applyProtection="1">
      <alignment horizontal="left"/>
    </xf>
    <xf numFmtId="0" fontId="11" fillId="0" borderId="9" xfId="0" applyNumberFormat="1" applyFont="1" applyBorder="1" applyAlignment="1" applyProtection="1">
      <alignment horizontal="left"/>
    </xf>
    <xf numFmtId="165" fontId="11" fillId="0" borderId="0" xfId="0" applyNumberFormat="1" applyFont="1" applyBorder="1" applyAlignment="1" applyProtection="1">
      <alignment horizontal="left"/>
    </xf>
    <xf numFmtId="165" fontId="11" fillId="0" borderId="9" xfId="0" applyNumberFormat="1" applyFont="1" applyBorder="1" applyAlignment="1" applyProtection="1">
      <alignment horizontal="left"/>
    </xf>
  </cellXfs>
  <cellStyles count="1">
    <cellStyle name="Standaard" xfId="0" builtinId="0"/>
  </cellStyles>
  <dxfs count="108">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0"/>
      </font>
    </dxf>
    <dxf>
      <font>
        <color theme="0"/>
      </font>
    </dxf>
    <dxf>
      <font>
        <color theme="0"/>
      </font>
    </dxf>
    <dxf>
      <font>
        <b/>
        <i val="0"/>
        <color rgb="FFC00000"/>
      </font>
      <fill>
        <patternFill>
          <bgColor rgb="FF00FF00"/>
        </patternFill>
      </fill>
    </dxf>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ont>
        <color theme="1"/>
      </font>
      <fill>
        <patternFill>
          <bgColor rgb="FF00FF00"/>
        </patternFill>
      </fill>
    </dxf>
    <dxf>
      <font>
        <color theme="1"/>
      </font>
      <fill>
        <patternFill>
          <bgColor rgb="FF00FF00"/>
        </patternFill>
      </fill>
    </dxf>
    <dxf>
      <font>
        <b/>
        <i val="0"/>
        <color theme="0"/>
      </font>
      <fill>
        <patternFill>
          <bgColor rgb="FFC00000"/>
        </patternFill>
      </fill>
    </dxf>
    <dxf>
      <font>
        <color theme="0"/>
      </font>
      <fill>
        <patternFill>
          <bgColor theme="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color rgb="FF00FF00"/>
      </font>
      <fill>
        <patternFill>
          <bgColor rgb="FF00FF00"/>
        </patternFill>
      </fill>
    </dxf>
    <dxf>
      <font>
        <color rgb="FFC00000"/>
      </font>
      <fill>
        <patternFill>
          <bgColor rgb="FFC00000"/>
        </patternFill>
      </fill>
    </dxf>
  </dxfs>
  <tableStyles count="0" defaultTableStyle="TableStyleMedium9" defaultPivotStyle="PivotStyleLight16"/>
  <colors>
    <mruColors>
      <color rgb="FF00FF00"/>
      <color rgb="FFFFFBF7"/>
      <color rgb="FFFF4343"/>
      <color rgb="FFF9F9F9"/>
      <color rgb="FFF2F2F2"/>
      <color rgb="FFBE311A"/>
      <color rgb="FFFFF5EB"/>
      <color rgb="FF21FF2C"/>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val>
            <c:numRef>
              <c:f>Curves!$K$1:$K$79</c:f>
              <c:numCache>
                <c:formatCode>General</c:formatCode>
                <c:ptCount val="79"/>
                <c:pt idx="0">
                  <c:v>0</c:v>
                </c:pt>
                <c:pt idx="1">
                  <c:v>9.7222222222222224E-2</c:v>
                </c:pt>
                <c:pt idx="2">
                  <c:v>0.19444444444444445</c:v>
                </c:pt>
                <c:pt idx="3">
                  <c:v>0.29166666666666669</c:v>
                </c:pt>
                <c:pt idx="4">
                  <c:v>0.3888888888888889</c:v>
                </c:pt>
                <c:pt idx="5">
                  <c:v>0.4861111111111111</c:v>
                </c:pt>
                <c:pt idx="6">
                  <c:v>0.58333333333333337</c:v>
                </c:pt>
                <c:pt idx="7">
                  <c:v>0.68055555555555558</c:v>
                </c:pt>
                <c:pt idx="8">
                  <c:v>0.77777777777777779</c:v>
                </c:pt>
                <c:pt idx="9">
                  <c:v>0.875</c:v>
                </c:pt>
                <c:pt idx="10">
                  <c:v>0.97222222222222221</c:v>
                </c:pt>
                <c:pt idx="11">
                  <c:v>1.0694444444444444</c:v>
                </c:pt>
                <c:pt idx="12">
                  <c:v>1.1666666666666667</c:v>
                </c:pt>
                <c:pt idx="13">
                  <c:v>1.2638888888888888</c:v>
                </c:pt>
                <c:pt idx="14">
                  <c:v>1.3611111111111112</c:v>
                </c:pt>
                <c:pt idx="15">
                  <c:v>1.4583333333333333</c:v>
                </c:pt>
                <c:pt idx="16">
                  <c:v>1.5555555555555556</c:v>
                </c:pt>
                <c:pt idx="17">
                  <c:v>1.6527777777777779</c:v>
                </c:pt>
                <c:pt idx="18">
                  <c:v>1.75</c:v>
                </c:pt>
                <c:pt idx="19">
                  <c:v>1.8472222222222223</c:v>
                </c:pt>
                <c:pt idx="20">
                  <c:v>1.9444444444444444</c:v>
                </c:pt>
                <c:pt idx="21">
                  <c:v>2.0416666666666665</c:v>
                </c:pt>
                <c:pt idx="22">
                  <c:v>2.1388888888888888</c:v>
                </c:pt>
                <c:pt idx="23">
                  <c:v>2.2361111111111112</c:v>
                </c:pt>
                <c:pt idx="24">
                  <c:v>2.3333333333333335</c:v>
                </c:pt>
                <c:pt idx="25">
                  <c:v>2.4305555555555558</c:v>
                </c:pt>
                <c:pt idx="26">
                  <c:v>2.5277777777777777</c:v>
                </c:pt>
                <c:pt idx="27">
                  <c:v>2.625</c:v>
                </c:pt>
                <c:pt idx="28">
                  <c:v>2.7222222222222223</c:v>
                </c:pt>
                <c:pt idx="29">
                  <c:v>2.8194444444444446</c:v>
                </c:pt>
                <c:pt idx="30">
                  <c:v>2.9166666666666665</c:v>
                </c:pt>
                <c:pt idx="31">
                  <c:v>3.0138888888888888</c:v>
                </c:pt>
                <c:pt idx="32">
                  <c:v>3.1111111111111112</c:v>
                </c:pt>
                <c:pt idx="33">
                  <c:v>3.2083333333333335</c:v>
                </c:pt>
                <c:pt idx="34">
                  <c:v>3.3055555555555558</c:v>
                </c:pt>
                <c:pt idx="35">
                  <c:v>3.4027777777777777</c:v>
                </c:pt>
                <c:pt idx="36">
                  <c:v>3.5</c:v>
                </c:pt>
                <c:pt idx="37">
                  <c:v>3.5972222222222223</c:v>
                </c:pt>
                <c:pt idx="38">
                  <c:v>3.6944444444444446</c:v>
                </c:pt>
                <c:pt idx="39">
                  <c:v>3.7916666666666665</c:v>
                </c:pt>
                <c:pt idx="40">
                  <c:v>3.8888888888888888</c:v>
                </c:pt>
                <c:pt idx="41">
                  <c:v>3.9861111111111112</c:v>
                </c:pt>
                <c:pt idx="42">
                  <c:v>4.083333333333333</c:v>
                </c:pt>
                <c:pt idx="43">
                  <c:v>4.1805555555555554</c:v>
                </c:pt>
                <c:pt idx="44">
                  <c:v>4.2777777777777777</c:v>
                </c:pt>
                <c:pt idx="45">
                  <c:v>4.375</c:v>
                </c:pt>
                <c:pt idx="46">
                  <c:v>4.4722222222222223</c:v>
                </c:pt>
                <c:pt idx="47">
                  <c:v>4.5694444444444446</c:v>
                </c:pt>
                <c:pt idx="48">
                  <c:v>4.666666666666667</c:v>
                </c:pt>
                <c:pt idx="49">
                  <c:v>4.7638888888888893</c:v>
                </c:pt>
                <c:pt idx="50">
                  <c:v>4.8611111111111116</c:v>
                </c:pt>
                <c:pt idx="51">
                  <c:v>4.958333333333333</c:v>
                </c:pt>
                <c:pt idx="52">
                  <c:v>5.0555555555555554</c:v>
                </c:pt>
                <c:pt idx="53">
                  <c:v>5.1527777777777777</c:v>
                </c:pt>
                <c:pt idx="54">
                  <c:v>5.25</c:v>
                </c:pt>
                <c:pt idx="55">
                  <c:v>5.541666666666667</c:v>
                </c:pt>
                <c:pt idx="56">
                  <c:v>5.833333333333333</c:v>
                </c:pt>
                <c:pt idx="57">
                  <c:v>6.125</c:v>
                </c:pt>
                <c:pt idx="58">
                  <c:v>6.416666666666667</c:v>
                </c:pt>
                <c:pt idx="59">
                  <c:v>6.7083333333333339</c:v>
                </c:pt>
                <c:pt idx="60">
                  <c:v>7</c:v>
                </c:pt>
                <c:pt idx="61">
                  <c:v>7.1527777777777777</c:v>
                </c:pt>
                <c:pt idx="62">
                  <c:v>7.3055555555555554</c:v>
                </c:pt>
                <c:pt idx="63">
                  <c:v>7.458333333333333</c:v>
                </c:pt>
                <c:pt idx="64">
                  <c:v>7.6111111111111107</c:v>
                </c:pt>
                <c:pt idx="65">
                  <c:v>7.7638888888888893</c:v>
                </c:pt>
                <c:pt idx="66">
                  <c:v>7.916666666666667</c:v>
                </c:pt>
                <c:pt idx="67">
                  <c:v>8.0694444444444446</c:v>
                </c:pt>
                <c:pt idx="68">
                  <c:v>8.2222222222222214</c:v>
                </c:pt>
                <c:pt idx="69">
                  <c:v>8.375</c:v>
                </c:pt>
                <c:pt idx="70">
                  <c:v>8.5277777777777786</c:v>
                </c:pt>
                <c:pt idx="71">
                  <c:v>8.6805555555555554</c:v>
                </c:pt>
                <c:pt idx="72">
                  <c:v>8.8333333333333339</c:v>
                </c:pt>
                <c:pt idx="73">
                  <c:v>8.9861111111111107</c:v>
                </c:pt>
                <c:pt idx="74">
                  <c:v>9.1388888888888893</c:v>
                </c:pt>
                <c:pt idx="75">
                  <c:v>9.2916666666666679</c:v>
                </c:pt>
                <c:pt idx="76">
                  <c:v>9.4444444444444446</c:v>
                </c:pt>
                <c:pt idx="77">
                  <c:v>9.5972222222222214</c:v>
                </c:pt>
                <c:pt idx="78">
                  <c:v>9.75</c:v>
                </c:pt>
              </c:numCache>
            </c:numRef>
          </c:val>
          <c:smooth val="0"/>
          <c:extLst>
            <c:ext xmlns:c16="http://schemas.microsoft.com/office/drawing/2014/chart" uri="{C3380CC4-5D6E-409C-BE32-E72D297353CC}">
              <c16:uniqueId val="{00000000-5071-41FF-9B31-C48D2FB8C49F}"/>
            </c:ext>
          </c:extLst>
        </c:ser>
        <c:ser>
          <c:idx val="1"/>
          <c:order val="1"/>
          <c:marker>
            <c:symbol val="none"/>
          </c:marker>
          <c:val>
            <c:numRef>
              <c:f>Curves!$L$1:$L$79</c:f>
              <c:numCache>
                <c:formatCode>General</c:formatCode>
                <c:ptCount val="79"/>
                <c:pt idx="0">
                  <c:v>0</c:v>
                </c:pt>
                <c:pt idx="1">
                  <c:v>0.19264403292181065</c:v>
                </c:pt>
                <c:pt idx="2">
                  <c:v>0.3816872427983542</c:v>
                </c:pt>
                <c:pt idx="3">
                  <c:v>0.56712962962962976</c:v>
                </c:pt>
                <c:pt idx="4">
                  <c:v>0.74897119341563734</c:v>
                </c:pt>
                <c:pt idx="5">
                  <c:v>0.9272119341563787</c:v>
                </c:pt>
                <c:pt idx="6">
                  <c:v>1.1018518518518521</c:v>
                </c:pt>
                <c:pt idx="7">
                  <c:v>1.2728909465020575</c:v>
                </c:pt>
                <c:pt idx="8">
                  <c:v>1.4403292181069958</c:v>
                </c:pt>
                <c:pt idx="9">
                  <c:v>1.6041666666666665</c:v>
                </c:pt>
                <c:pt idx="10">
                  <c:v>1.7644032921810697</c:v>
                </c:pt>
                <c:pt idx="11">
                  <c:v>1.9210390946502058</c:v>
                </c:pt>
                <c:pt idx="12">
                  <c:v>2.074074074074074</c:v>
                </c:pt>
                <c:pt idx="13">
                  <c:v>2.223508230452675</c:v>
                </c:pt>
                <c:pt idx="14">
                  <c:v>2.369341563786008</c:v>
                </c:pt>
                <c:pt idx="15">
                  <c:v>2.511574074074074</c:v>
                </c:pt>
                <c:pt idx="16">
                  <c:v>2.6502057613168724</c:v>
                </c:pt>
                <c:pt idx="17">
                  <c:v>2.7852366255144032</c:v>
                </c:pt>
                <c:pt idx="18">
                  <c:v>2.9166666666666665</c:v>
                </c:pt>
                <c:pt idx="19">
                  <c:v>3.0444958847736623</c:v>
                </c:pt>
                <c:pt idx="20">
                  <c:v>3.168724279835391</c:v>
                </c:pt>
                <c:pt idx="21">
                  <c:v>3.2893518518518521</c:v>
                </c:pt>
                <c:pt idx="22">
                  <c:v>3.4063786008230452</c:v>
                </c:pt>
                <c:pt idx="23">
                  <c:v>3.5198045267489713</c:v>
                </c:pt>
                <c:pt idx="24">
                  <c:v>3.6296296296296298</c:v>
                </c:pt>
                <c:pt idx="25">
                  <c:v>3.7358539094650203</c:v>
                </c:pt>
                <c:pt idx="26">
                  <c:v>3.8384773662551437</c:v>
                </c:pt>
                <c:pt idx="27">
                  <c:v>3.9375</c:v>
                </c:pt>
                <c:pt idx="28">
                  <c:v>4.0329218106995883</c:v>
                </c:pt>
                <c:pt idx="29">
                  <c:v>4.1247427983539096</c:v>
                </c:pt>
                <c:pt idx="30">
                  <c:v>4.2129629629629628</c:v>
                </c:pt>
                <c:pt idx="31">
                  <c:v>4.2975823045267489</c:v>
                </c:pt>
                <c:pt idx="32">
                  <c:v>4.3786008230452671</c:v>
                </c:pt>
                <c:pt idx="33">
                  <c:v>4.4560185185185182</c:v>
                </c:pt>
                <c:pt idx="34">
                  <c:v>4.5298353909465021</c:v>
                </c:pt>
                <c:pt idx="35">
                  <c:v>4.6000514403292181</c:v>
                </c:pt>
                <c:pt idx="36">
                  <c:v>4.666666666666667</c:v>
                </c:pt>
                <c:pt idx="37">
                  <c:v>4.7296810699588478</c:v>
                </c:pt>
                <c:pt idx="38">
                  <c:v>4.7890946502057616</c:v>
                </c:pt>
                <c:pt idx="39">
                  <c:v>4.8449074074074074</c:v>
                </c:pt>
                <c:pt idx="40">
                  <c:v>4.8971193415637861</c:v>
                </c:pt>
                <c:pt idx="41">
                  <c:v>4.9457304526748969</c:v>
                </c:pt>
                <c:pt idx="42">
                  <c:v>4.9907407407407405</c:v>
                </c:pt>
                <c:pt idx="43">
                  <c:v>5.032150205761317</c:v>
                </c:pt>
                <c:pt idx="44">
                  <c:v>5.0699588477366255</c:v>
                </c:pt>
                <c:pt idx="45">
                  <c:v>5.104166666666667</c:v>
                </c:pt>
                <c:pt idx="46">
                  <c:v>5.1347736625514404</c:v>
                </c:pt>
                <c:pt idx="47">
                  <c:v>5.1617798353909468</c:v>
                </c:pt>
                <c:pt idx="48">
                  <c:v>5.1851851851851851</c:v>
                </c:pt>
                <c:pt idx="49">
                  <c:v>5.2049897119341564</c:v>
                </c:pt>
                <c:pt idx="50">
                  <c:v>5.2211934156378597</c:v>
                </c:pt>
                <c:pt idx="51">
                  <c:v>5.2337962962962967</c:v>
                </c:pt>
                <c:pt idx="52">
                  <c:v>5.2427983539094649</c:v>
                </c:pt>
                <c:pt idx="53">
                  <c:v>5.248199588477366</c:v>
                </c:pt>
                <c:pt idx="54">
                  <c:v>5.25</c:v>
                </c:pt>
                <c:pt idx="55">
                  <c:v>5.2986111111111107</c:v>
                </c:pt>
                <c:pt idx="56">
                  <c:v>5.4444444444444446</c:v>
                </c:pt>
                <c:pt idx="57">
                  <c:v>5.6875</c:v>
                </c:pt>
                <c:pt idx="58">
                  <c:v>6.0277777777777777</c:v>
                </c:pt>
                <c:pt idx="59">
                  <c:v>6.4652777777777777</c:v>
                </c:pt>
                <c:pt idx="60">
                  <c:v>7</c:v>
                </c:pt>
                <c:pt idx="61">
                  <c:v>7.2970679012345681</c:v>
                </c:pt>
                <c:pt idx="62">
                  <c:v>7.5771604938271606</c:v>
                </c:pt>
                <c:pt idx="63">
                  <c:v>7.8402777777777777</c:v>
                </c:pt>
                <c:pt idx="64">
                  <c:v>8.0864197530864192</c:v>
                </c:pt>
                <c:pt idx="65">
                  <c:v>8.3155864197530871</c:v>
                </c:pt>
                <c:pt idx="66">
                  <c:v>8.5277777777777786</c:v>
                </c:pt>
                <c:pt idx="67">
                  <c:v>8.7229938271604937</c:v>
                </c:pt>
                <c:pt idx="68">
                  <c:v>8.9012345679012341</c:v>
                </c:pt>
                <c:pt idx="69">
                  <c:v>9.0625</c:v>
                </c:pt>
                <c:pt idx="70">
                  <c:v>9.2067901234567895</c:v>
                </c:pt>
                <c:pt idx="71">
                  <c:v>9.3341049382716044</c:v>
                </c:pt>
                <c:pt idx="72">
                  <c:v>9.4444444444444446</c:v>
                </c:pt>
                <c:pt idx="73">
                  <c:v>9.5378086419753085</c:v>
                </c:pt>
                <c:pt idx="74">
                  <c:v>9.6141975308641978</c:v>
                </c:pt>
                <c:pt idx="75">
                  <c:v>9.6736111111111107</c:v>
                </c:pt>
                <c:pt idx="76">
                  <c:v>9.716049382716049</c:v>
                </c:pt>
                <c:pt idx="77">
                  <c:v>9.7415123456790127</c:v>
                </c:pt>
                <c:pt idx="78">
                  <c:v>9.75</c:v>
                </c:pt>
              </c:numCache>
            </c:numRef>
          </c:val>
          <c:smooth val="0"/>
          <c:extLst>
            <c:ext xmlns:c16="http://schemas.microsoft.com/office/drawing/2014/chart" uri="{C3380CC4-5D6E-409C-BE32-E72D297353CC}">
              <c16:uniqueId val="{00000001-5071-41FF-9B31-C48D2FB8C49F}"/>
            </c:ext>
          </c:extLst>
        </c:ser>
        <c:dLbls>
          <c:showLegendKey val="0"/>
          <c:showVal val="0"/>
          <c:showCatName val="0"/>
          <c:showSerName val="0"/>
          <c:showPercent val="0"/>
          <c:showBubbleSize val="0"/>
        </c:dLbls>
        <c:smooth val="0"/>
        <c:axId val="202069888"/>
        <c:axId val="202071424"/>
      </c:lineChart>
      <c:catAx>
        <c:axId val="202069888"/>
        <c:scaling>
          <c:orientation val="minMax"/>
        </c:scaling>
        <c:delete val="0"/>
        <c:axPos val="b"/>
        <c:majorTickMark val="out"/>
        <c:minorTickMark val="none"/>
        <c:tickLblPos val="nextTo"/>
        <c:crossAx val="202071424"/>
        <c:crosses val="autoZero"/>
        <c:auto val="1"/>
        <c:lblAlgn val="ctr"/>
        <c:lblOffset val="100"/>
        <c:noMultiLvlLbl val="0"/>
      </c:catAx>
      <c:valAx>
        <c:axId val="202071424"/>
        <c:scaling>
          <c:orientation val="minMax"/>
        </c:scaling>
        <c:delete val="0"/>
        <c:axPos val="l"/>
        <c:majorGridlines/>
        <c:numFmt formatCode="General" sourceLinked="1"/>
        <c:majorTickMark val="out"/>
        <c:minorTickMark val="none"/>
        <c:tickLblPos val="nextTo"/>
        <c:crossAx val="202069888"/>
        <c:crosses val="autoZero"/>
        <c:crossBetween val="between"/>
      </c:valAx>
    </c:plotArea>
    <c:legend>
      <c:legendPos val="r"/>
      <c:overlay val="0"/>
    </c:legend>
    <c:plotVisOnly val="1"/>
    <c:dispBlanksAs val="gap"/>
    <c:showDLblsOverMax val="0"/>
  </c:chart>
  <c:printSettings>
    <c:headerFooter/>
    <c:pageMargins b="0.75000000000000588" l="0.70000000000000062" r="0.70000000000000062" t="0.75000000000000588" header="0.30000000000000032" footer="0.30000000000000032"/>
    <c:pageSetup/>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H26" lockText="1" noThreeD="1"/>
</file>

<file path=xl/ctrlProps/ctrlProp28.xml><?xml version="1.0" encoding="utf-8"?>
<formControlPr xmlns="http://schemas.microsoft.com/office/spreadsheetml/2009/9/main" objectType="CheckBox" fmlaLink="H27" lockText="1" noThreeD="1"/>
</file>

<file path=xl/ctrlProps/ctrlProp29.xml><?xml version="1.0" encoding="utf-8"?>
<formControlPr xmlns="http://schemas.microsoft.com/office/spreadsheetml/2009/9/main" objectType="CheckBox" fmlaLink="H32"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H33" lockText="1" noThreeD="1"/>
</file>

<file path=xl/ctrlProps/ctrlProp31.xml><?xml version="1.0" encoding="utf-8"?>
<formControlPr xmlns="http://schemas.microsoft.com/office/spreadsheetml/2009/9/main" objectType="Scroll" dx="16" fmlaLink="H43" horiz="1" max="3" min="1" page="0" val="2"/>
</file>

<file path=xl/ctrlProps/ctrlProp32.xml><?xml version="1.0" encoding="utf-8"?>
<formControlPr xmlns="http://schemas.microsoft.com/office/spreadsheetml/2009/9/main" objectType="Radio" checked="Checked" firstButton="1" fmlaLink="H12"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CheckBox" fmlaLink="H4" lockText="1" noThreeD="1"/>
</file>

<file path=xl/ctrlProps/ctrlProp36.xml><?xml version="1.0" encoding="utf-8"?>
<formControlPr xmlns="http://schemas.microsoft.com/office/spreadsheetml/2009/9/main" objectType="Scroll" dx="15" fmlaLink="$H$6" horiz="1" max="9" page="0" val="0"/>
</file>

<file path=xl/ctrlProps/ctrlProp37.xml><?xml version="1.0" encoding="utf-8"?>
<formControlPr xmlns="http://schemas.microsoft.com/office/spreadsheetml/2009/9/main" objectType="Scroll" dx="15" fmlaLink="$H$7" horiz="1" max="9" page="0" val="0"/>
</file>

<file path=xl/ctrlProps/ctrlProp38.xml><?xml version="1.0" encoding="utf-8"?>
<formControlPr xmlns="http://schemas.microsoft.com/office/spreadsheetml/2009/9/main" objectType="Scroll" dx="15" fmlaLink="$H$8" horiz="1" max="9" page="0" val="0"/>
</file>

<file path=xl/ctrlProps/ctrlProp39.xml><?xml version="1.0" encoding="utf-8"?>
<formControlPr xmlns="http://schemas.microsoft.com/office/spreadsheetml/2009/9/main" objectType="Scroll" dx="15" fmlaLink="$H$9" horiz="1" max="9" page="0" val="0"/>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Scroll" dx="15" fmlaLink="$H$10" horiz="1" max="9" page="0" val="0"/>
</file>

<file path=xl/ctrlProps/ctrlProp41.xml><?xml version="1.0" encoding="utf-8"?>
<formControlPr xmlns="http://schemas.microsoft.com/office/spreadsheetml/2009/9/main" objectType="Scroll" dx="15" fmlaLink="$H$11" horiz="1" max="9" page="0" val="0"/>
</file>

<file path=xl/ctrlProps/ctrlProp42.xml><?xml version="1.0" encoding="utf-8"?>
<formControlPr xmlns="http://schemas.microsoft.com/office/spreadsheetml/2009/9/main" objectType="Scroll" dx="15" fmlaLink="$H$12" horiz="1" max="9" page="0" val="0"/>
</file>

<file path=xl/ctrlProps/ctrlProp43.xml><?xml version="1.0" encoding="utf-8"?>
<formControlPr xmlns="http://schemas.microsoft.com/office/spreadsheetml/2009/9/main" objectType="Scroll" dx="15" fmlaLink="$H$13" horiz="1" max="9" page="0" val="0"/>
</file>

<file path=xl/ctrlProps/ctrlProp44.xml><?xml version="1.0" encoding="utf-8"?>
<formControlPr xmlns="http://schemas.microsoft.com/office/spreadsheetml/2009/9/main" objectType="Scroll" dx="15" fmlaLink="$H$14" horiz="1" max="7" page="0" val="0"/>
</file>

<file path=xl/ctrlProps/ctrlProp45.xml><?xml version="1.0" encoding="utf-8"?>
<formControlPr xmlns="http://schemas.microsoft.com/office/spreadsheetml/2009/9/main" objectType="Scroll" dx="15" fmlaLink="$H$15" horiz="1" max="9" page="0" val="0"/>
</file>

<file path=xl/ctrlProps/ctrlProp46.xml><?xml version="1.0" encoding="utf-8"?>
<formControlPr xmlns="http://schemas.microsoft.com/office/spreadsheetml/2009/9/main" objectType="Scroll" dx="15" fmlaLink="$H18" horiz="1" max="9" page="0" val="0"/>
</file>

<file path=xl/ctrlProps/ctrlProp47.xml><?xml version="1.0" encoding="utf-8"?>
<formControlPr xmlns="http://schemas.microsoft.com/office/spreadsheetml/2009/9/main" objectType="Scroll" dx="15" fmlaLink="$H$19" horiz="1" max="9" page="0" val="0"/>
</file>

<file path=xl/ctrlProps/ctrlProp48.xml><?xml version="1.0" encoding="utf-8"?>
<formControlPr xmlns="http://schemas.microsoft.com/office/spreadsheetml/2009/9/main" objectType="Scroll" dx="15" fmlaLink="$H$20" horiz="1" max="9" page="0" val="0"/>
</file>

<file path=xl/ctrlProps/ctrlProp49.xml><?xml version="1.0" encoding="utf-8"?>
<formControlPr xmlns="http://schemas.microsoft.com/office/spreadsheetml/2009/9/main" objectType="Scroll" dx="15" fmlaLink="$H$21" horiz="1" max="9" page="0" val="0"/>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Scroll" dx="15" fmlaLink="$H$22" horiz="1" max="9" page="0" val="0"/>
</file>

<file path=xl/ctrlProps/ctrlProp51.xml><?xml version="1.0" encoding="utf-8"?>
<formControlPr xmlns="http://schemas.microsoft.com/office/spreadsheetml/2009/9/main" objectType="Scroll" dx="15" fmlaLink="$H$23" horiz="1" max="9" page="0" val="0"/>
</file>

<file path=xl/ctrlProps/ctrlProp52.xml><?xml version="1.0" encoding="utf-8"?>
<formControlPr xmlns="http://schemas.microsoft.com/office/spreadsheetml/2009/9/main" objectType="Scroll" dx="15" fmlaLink="$H$24" horiz="1" max="9" page="0" val="0"/>
</file>

<file path=xl/ctrlProps/ctrlProp53.xml><?xml version="1.0" encoding="utf-8"?>
<formControlPr xmlns="http://schemas.microsoft.com/office/spreadsheetml/2009/9/main" objectType="Scroll" dx="15" fmlaLink="$H$25" horiz="1" max="9" page="0" val="0"/>
</file>

<file path=xl/ctrlProps/ctrlProp54.xml><?xml version="1.0" encoding="utf-8"?>
<formControlPr xmlns="http://schemas.microsoft.com/office/spreadsheetml/2009/9/main" objectType="Scroll" dx="15" fmlaLink="$H$26" horiz="1" max="9" page="0" val="0"/>
</file>

<file path=xl/ctrlProps/ctrlProp55.xml><?xml version="1.0" encoding="utf-8"?>
<formControlPr xmlns="http://schemas.microsoft.com/office/spreadsheetml/2009/9/main" objectType="Scroll" dx="15" fmlaLink="$H29" horiz="1" max="7" page="0" val="0"/>
</file>

<file path=xl/ctrlProps/ctrlProp56.xml><?xml version="1.0" encoding="utf-8"?>
<formControlPr xmlns="http://schemas.microsoft.com/office/spreadsheetml/2009/9/main" objectType="Scroll" dx="15" fmlaLink="$H$30" horiz="1" max="9" page="0" val="0"/>
</file>

<file path=xl/ctrlProps/ctrlProp57.xml><?xml version="1.0" encoding="utf-8"?>
<formControlPr xmlns="http://schemas.microsoft.com/office/spreadsheetml/2009/9/main" objectType="Scroll" dx="15" fmlaLink="$H$31" horiz="1" max="9" page="0" val="0"/>
</file>

<file path=xl/ctrlProps/ctrlProp58.xml><?xml version="1.0" encoding="utf-8"?>
<formControlPr xmlns="http://schemas.microsoft.com/office/spreadsheetml/2009/9/main" objectType="Scroll" dx="15" fmlaLink="$H$32" horiz="1" max="9" page="0" val="0"/>
</file>

<file path=xl/ctrlProps/ctrlProp59.xml><?xml version="1.0" encoding="utf-8"?>
<formControlPr xmlns="http://schemas.microsoft.com/office/spreadsheetml/2009/9/main" objectType="Scroll" dx="15" fmlaLink="$H$33" horiz="1" max="7" page="0" val="0"/>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Scroll" dx="15" fmlaLink="$H$34" horiz="1" max="9" page="0" val="0"/>
</file>

<file path=xl/ctrlProps/ctrlProp61.xml><?xml version="1.0" encoding="utf-8"?>
<formControlPr xmlns="http://schemas.microsoft.com/office/spreadsheetml/2009/9/main" objectType="Scroll" dx="15" fmlaLink="$H$35" horiz="1" max="9" page="0" val="0"/>
</file>

<file path=xl/ctrlProps/ctrlProp62.xml><?xml version="1.0" encoding="utf-8"?>
<formControlPr xmlns="http://schemas.microsoft.com/office/spreadsheetml/2009/9/main" objectType="Radio" checked="Checked" firstButton="1" fmlaLink="G12"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Scroll" dx="15" fmlaLink="G16" horiz="1" max="48" min="12" page="0" val="12"/>
</file>

<file path=xl/ctrlProps/ctrlProp65.xml><?xml version="1.0" encoding="utf-8"?>
<formControlPr xmlns="http://schemas.microsoft.com/office/spreadsheetml/2009/9/main" objectType="CheckBox" fmlaLink="H23" lockText="1" noThreeD="1"/>
</file>

<file path=xl/ctrlProps/ctrlProp66.xml><?xml version="1.0" encoding="utf-8"?>
<formControlPr xmlns="http://schemas.microsoft.com/office/spreadsheetml/2009/9/main" objectType="CheckBox" fmlaLink="H24" lockText="1" noThreeD="1"/>
</file>

<file path=xl/ctrlProps/ctrlProp67.xml><?xml version="1.0" encoding="utf-8"?>
<formControlPr xmlns="http://schemas.microsoft.com/office/spreadsheetml/2009/9/main" objectType="CheckBox" fmlaLink="H25" lockText="1" noThreeD="1"/>
</file>

<file path=xl/ctrlProps/ctrlProp68.xml><?xml version="1.0" encoding="utf-8"?>
<formControlPr xmlns="http://schemas.microsoft.com/office/spreadsheetml/2009/9/main" objectType="CheckBox" fmlaLink="H26" lockText="1" noThreeD="1"/>
</file>

<file path=xl/ctrlProps/ctrlProp69.xml><?xml version="1.0" encoding="utf-8"?>
<formControlPr xmlns="http://schemas.microsoft.com/office/spreadsheetml/2009/9/main" objectType="CheckBox" fmlaLink="H27"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57150</xdr:colOff>
      <xdr:row>23</xdr:row>
      <xdr:rowOff>638174</xdr:rowOff>
    </xdr:from>
    <xdr:to>
      <xdr:col>0</xdr:col>
      <xdr:colOff>1009650</xdr:colOff>
      <xdr:row>23</xdr:row>
      <xdr:rowOff>1695449</xdr:rowOff>
    </xdr:to>
    <xdr:sp macro="" textlink="">
      <xdr:nvSpPr>
        <xdr:cNvPr id="4" name="Rectangular Callout 3"/>
        <xdr:cNvSpPr/>
      </xdr:nvSpPr>
      <xdr:spPr>
        <a:xfrm>
          <a:off x="57150" y="6810374"/>
          <a:ext cx="952500" cy="1057275"/>
        </a:xfrm>
        <a:prstGeom prst="wedgeRectCallout">
          <a:avLst>
            <a:gd name="adj1" fmla="val 65876"/>
            <a:gd name="adj2" fmla="val -39798"/>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100" b="1" u="sng">
              <a:solidFill>
                <a:sysClr val="windowText" lastClr="000000"/>
              </a:solidFill>
            </a:rPr>
            <a:t>Dubbelklik</a:t>
          </a:r>
          <a:r>
            <a:rPr lang="nl-NL" sz="1100" b="1" u="sng" baseline="0">
              <a:solidFill>
                <a:sysClr val="windowText" lastClr="000000"/>
              </a:solidFill>
            </a:rPr>
            <a:t> </a:t>
          </a:r>
          <a:r>
            <a:rPr lang="nl-NL" sz="1100" b="1" baseline="0">
              <a:solidFill>
                <a:sysClr val="windowText" lastClr="000000"/>
              </a:solidFill>
            </a:rPr>
            <a:t>op het veld om de tekst te bewerken</a:t>
          </a:r>
          <a:endParaRPr lang="nl-NL" sz="1100" b="1">
            <a:solidFill>
              <a:sysClr val="windowText" lastClr="000000"/>
            </a:solidFill>
          </a:endParaRPr>
        </a:p>
      </xdr:txBody>
    </xdr:sp>
    <xdr:clientData/>
  </xdr:twoCellAnchor>
  <xdr:twoCellAnchor>
    <xdr:from>
      <xdr:col>4</xdr:col>
      <xdr:colOff>1790701</xdr:colOff>
      <xdr:row>25</xdr:row>
      <xdr:rowOff>19050</xdr:rowOff>
    </xdr:from>
    <xdr:to>
      <xdr:col>5</xdr:col>
      <xdr:colOff>1819275</xdr:colOff>
      <xdr:row>28</xdr:row>
      <xdr:rowOff>238126</xdr:rowOff>
    </xdr:to>
    <xdr:sp macro="" textlink="">
      <xdr:nvSpPr>
        <xdr:cNvPr id="5" name="Rectangular Callout 4"/>
        <xdr:cNvSpPr/>
      </xdr:nvSpPr>
      <xdr:spPr>
        <a:xfrm>
          <a:off x="8362951" y="8324850"/>
          <a:ext cx="1828799" cy="981076"/>
        </a:xfrm>
        <a:prstGeom prst="wedgeRectCallout">
          <a:avLst>
            <a:gd name="adj1" fmla="val -87390"/>
            <a:gd name="adj2" fmla="val -9076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200" b="0" u="none">
              <a:solidFill>
                <a:sysClr val="windowText" lastClr="000000"/>
              </a:solidFill>
            </a:rPr>
            <a:t>Kriigt</a:t>
          </a:r>
          <a:r>
            <a:rPr lang="nl-NL" sz="1200" b="0" u="none" baseline="0">
              <a:solidFill>
                <a:sysClr val="windowText" lastClr="000000"/>
              </a:solidFill>
            </a:rPr>
            <a:t> u een foutmelding? Klik die weg (</a:t>
          </a:r>
          <a:r>
            <a:rPr lang="nl-NL" sz="1200" b="1" u="none" baseline="0">
              <a:solidFill>
                <a:sysClr val="windowText" lastClr="000000"/>
              </a:solidFill>
            </a:rPr>
            <a:t>OK</a:t>
          </a:r>
          <a:r>
            <a:rPr lang="nl-NL" sz="1200" b="0" u="none" baseline="0">
              <a:solidFill>
                <a:sysClr val="windowText" lastClr="000000"/>
              </a:solidFill>
            </a:rPr>
            <a:t>) en druk op </a:t>
          </a:r>
          <a:r>
            <a:rPr lang="nl-NL" sz="1200" b="1" u="none" baseline="0">
              <a:solidFill>
                <a:sysClr val="windowText" lastClr="000000"/>
              </a:solidFill>
            </a:rPr>
            <a:t>ESC</a:t>
          </a:r>
          <a:endParaRPr lang="nl-NL" sz="12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xdr:from>
          <xdr:col>0</xdr:col>
          <xdr:colOff>323850</xdr:colOff>
          <xdr:row>16</xdr:row>
          <xdr:rowOff>9525</xdr:rowOff>
        </xdr:from>
        <xdr:to>
          <xdr:col>0</xdr:col>
          <xdr:colOff>523875</xdr:colOff>
          <xdr:row>17</xdr:row>
          <xdr:rowOff>9525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16</xdr:row>
          <xdr:rowOff>0</xdr:rowOff>
        </xdr:from>
        <xdr:to>
          <xdr:col>1</xdr:col>
          <xdr:colOff>695325</xdr:colOff>
          <xdr:row>16</xdr:row>
          <xdr:rowOff>161925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16</xdr:row>
          <xdr:rowOff>0</xdr:rowOff>
        </xdr:from>
        <xdr:to>
          <xdr:col>2</xdr:col>
          <xdr:colOff>723900</xdr:colOff>
          <xdr:row>16</xdr:row>
          <xdr:rowOff>161925</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0</xdr:rowOff>
        </xdr:from>
        <xdr:to>
          <xdr:col>0</xdr:col>
          <xdr:colOff>523875</xdr:colOff>
          <xdr:row>17</xdr:row>
          <xdr:rowOff>161925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209550</xdr:rowOff>
        </xdr:from>
        <xdr:to>
          <xdr:col>0</xdr:col>
          <xdr:colOff>523875</xdr:colOff>
          <xdr:row>18</xdr:row>
          <xdr:rowOff>209550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18</xdr:row>
          <xdr:rowOff>219075</xdr:rowOff>
        </xdr:from>
        <xdr:to>
          <xdr:col>0</xdr:col>
          <xdr:colOff>523875</xdr:colOff>
          <xdr:row>19</xdr:row>
          <xdr:rowOff>209550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17</xdr:row>
          <xdr:rowOff>9525</xdr:rowOff>
        </xdr:from>
        <xdr:to>
          <xdr:col>1</xdr:col>
          <xdr:colOff>695325</xdr:colOff>
          <xdr:row>18</xdr:row>
          <xdr:rowOff>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17</xdr:row>
          <xdr:rowOff>0</xdr:rowOff>
        </xdr:from>
        <xdr:to>
          <xdr:col>2</xdr:col>
          <xdr:colOff>723900</xdr:colOff>
          <xdr:row>17</xdr:row>
          <xdr:rowOff>161925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0</xdr:rowOff>
        </xdr:from>
        <xdr:to>
          <xdr:col>2</xdr:col>
          <xdr:colOff>723900</xdr:colOff>
          <xdr:row>19</xdr:row>
          <xdr:rowOff>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171450</xdr:rowOff>
        </xdr:from>
        <xdr:to>
          <xdr:col>2</xdr:col>
          <xdr:colOff>723900</xdr:colOff>
          <xdr:row>20</xdr:row>
          <xdr:rowOff>9525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19</xdr:row>
          <xdr:rowOff>161925</xdr:rowOff>
        </xdr:from>
        <xdr:to>
          <xdr:col>2</xdr:col>
          <xdr:colOff>723900</xdr:colOff>
          <xdr:row>21</xdr:row>
          <xdr:rowOff>19050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16</xdr:row>
          <xdr:rowOff>9525</xdr:rowOff>
        </xdr:from>
        <xdr:to>
          <xdr:col>3</xdr:col>
          <xdr:colOff>704850</xdr:colOff>
          <xdr:row>17</xdr:row>
          <xdr:rowOff>9525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17</xdr:row>
          <xdr:rowOff>9525</xdr:rowOff>
        </xdr:from>
        <xdr:to>
          <xdr:col>3</xdr:col>
          <xdr:colOff>704850</xdr:colOff>
          <xdr:row>18</xdr:row>
          <xdr:rowOff>9525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495300</xdr:colOff>
          <xdr:row>18</xdr:row>
          <xdr:rowOff>0</xdr:rowOff>
        </xdr:from>
        <xdr:to>
          <xdr:col>3</xdr:col>
          <xdr:colOff>695325</xdr:colOff>
          <xdr:row>19</xdr:row>
          <xdr:rowOff>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16</xdr:row>
          <xdr:rowOff>19050</xdr:rowOff>
        </xdr:from>
        <xdr:to>
          <xdr:col>4</xdr:col>
          <xdr:colOff>714375</xdr:colOff>
          <xdr:row>17</xdr:row>
          <xdr:rowOff>9525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17</xdr:row>
          <xdr:rowOff>0</xdr:rowOff>
        </xdr:from>
        <xdr:to>
          <xdr:col>4</xdr:col>
          <xdr:colOff>714375</xdr:colOff>
          <xdr:row>17</xdr:row>
          <xdr:rowOff>161925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18</xdr:row>
          <xdr:rowOff>0</xdr:rowOff>
        </xdr:from>
        <xdr:to>
          <xdr:col>4</xdr:col>
          <xdr:colOff>714375</xdr:colOff>
          <xdr:row>19</xdr:row>
          <xdr:rowOff>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0</xdr:rowOff>
        </xdr:from>
        <xdr:to>
          <xdr:col>4</xdr:col>
          <xdr:colOff>714375</xdr:colOff>
          <xdr:row>20</xdr:row>
          <xdr:rowOff>9525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152400</xdr:rowOff>
        </xdr:from>
        <xdr:to>
          <xdr:col>4</xdr:col>
          <xdr:colOff>714375</xdr:colOff>
          <xdr:row>21</xdr:row>
          <xdr:rowOff>9525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20</xdr:row>
          <xdr:rowOff>152400</xdr:rowOff>
        </xdr:from>
        <xdr:to>
          <xdr:col>4</xdr:col>
          <xdr:colOff>714375</xdr:colOff>
          <xdr:row>22</xdr:row>
          <xdr:rowOff>19050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16</xdr:row>
          <xdr:rowOff>19050</xdr:rowOff>
        </xdr:from>
        <xdr:to>
          <xdr:col>5</xdr:col>
          <xdr:colOff>752475</xdr:colOff>
          <xdr:row>17</xdr:row>
          <xdr:rowOff>9525</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17</xdr:row>
          <xdr:rowOff>9525</xdr:rowOff>
        </xdr:from>
        <xdr:to>
          <xdr:col>5</xdr:col>
          <xdr:colOff>752475</xdr:colOff>
          <xdr:row>18</xdr:row>
          <xdr:rowOff>9525</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0</xdr:rowOff>
        </xdr:from>
        <xdr:to>
          <xdr:col>5</xdr:col>
          <xdr:colOff>752475</xdr:colOff>
          <xdr:row>19</xdr:row>
          <xdr:rowOff>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171450</xdr:rowOff>
        </xdr:from>
        <xdr:to>
          <xdr:col>5</xdr:col>
          <xdr:colOff>752475</xdr:colOff>
          <xdr:row>20</xdr:row>
          <xdr:rowOff>9525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19</xdr:row>
          <xdr:rowOff>152400</xdr:rowOff>
        </xdr:from>
        <xdr:to>
          <xdr:col>5</xdr:col>
          <xdr:colOff>752475</xdr:colOff>
          <xdr:row>21</xdr:row>
          <xdr:rowOff>9525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20</xdr:row>
          <xdr:rowOff>152400</xdr:rowOff>
        </xdr:from>
        <xdr:to>
          <xdr:col>5</xdr:col>
          <xdr:colOff>752475</xdr:colOff>
          <xdr:row>22</xdr:row>
          <xdr:rowOff>19050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19050</xdr:rowOff>
        </xdr:from>
        <xdr:to>
          <xdr:col>13</xdr:col>
          <xdr:colOff>19050</xdr:colOff>
          <xdr:row>23</xdr:row>
          <xdr:rowOff>1704975</xdr:rowOff>
        </xdr:to>
        <xdr:sp macro="" textlink="">
          <xdr:nvSpPr>
            <xdr:cNvPr id="2109" name="Object 61" hidden="1">
              <a:extLst>
                <a:ext uri="{63B3BB69-23CF-44E3-9099-C40C66FF867C}">
                  <a14:compatExt spid="_x0000_s210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28575</xdr:rowOff>
        </xdr:from>
        <xdr:to>
          <xdr:col>0</xdr:col>
          <xdr:colOff>619125</xdr:colOff>
          <xdr:row>25</xdr:row>
          <xdr:rowOff>171450</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26</xdr:row>
          <xdr:rowOff>9525</xdr:rowOff>
        </xdr:from>
        <xdr:to>
          <xdr:col>0</xdr:col>
          <xdr:colOff>619125</xdr:colOff>
          <xdr:row>26</xdr:row>
          <xdr:rowOff>161925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31</xdr:row>
          <xdr:rowOff>19050</xdr:rowOff>
        </xdr:from>
        <xdr:to>
          <xdr:col>0</xdr:col>
          <xdr:colOff>628650</xdr:colOff>
          <xdr:row>31</xdr:row>
          <xdr:rowOff>161925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32</xdr:row>
          <xdr:rowOff>28575</xdr:rowOff>
        </xdr:from>
        <xdr:to>
          <xdr:col>0</xdr:col>
          <xdr:colOff>628650</xdr:colOff>
          <xdr:row>32</xdr:row>
          <xdr:rowOff>171450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533400</xdr:rowOff>
        </xdr:from>
        <xdr:to>
          <xdr:col>13</xdr:col>
          <xdr:colOff>9525</xdr:colOff>
          <xdr:row>42</xdr:row>
          <xdr:rowOff>695325</xdr:rowOff>
        </xdr:to>
        <xdr:sp macro="" textlink="">
          <xdr:nvSpPr>
            <xdr:cNvPr id="2120" name="Scroll Bar 72" hidden="1">
              <a:extLst>
                <a:ext uri="{63B3BB69-23CF-44E3-9099-C40C66FF867C}">
                  <a14:compatExt spid="_x0000_s212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95250</xdr:colOff>
          <xdr:row>11</xdr:row>
          <xdr:rowOff>0</xdr:rowOff>
        </xdr:from>
        <xdr:to>
          <xdr:col>1</xdr:col>
          <xdr:colOff>523875</xdr:colOff>
          <xdr:row>11</xdr:row>
          <xdr:rowOff>219075</xdr:rowOff>
        </xdr:to>
        <xdr:sp macro="" textlink="">
          <xdr:nvSpPr>
            <xdr:cNvPr id="2111" name="Option Button 63" descr="Begeleide Stage&#10;"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Tussenevaluatie Begeleide stage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11</xdr:row>
          <xdr:rowOff>180975</xdr:rowOff>
        </xdr:from>
        <xdr:to>
          <xdr:col>1</xdr:col>
          <xdr:colOff>152400</xdr:colOff>
          <xdr:row>11</xdr:row>
          <xdr:rowOff>314325</xdr:rowOff>
        </xdr:to>
        <xdr:sp macro="" textlink="">
          <xdr:nvSpPr>
            <xdr:cNvPr id="2112" name="Option Button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Begeleide stage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95250</xdr:colOff>
          <xdr:row>11</xdr:row>
          <xdr:rowOff>276225</xdr:rowOff>
        </xdr:from>
        <xdr:to>
          <xdr:col>1</xdr:col>
          <xdr:colOff>142875</xdr:colOff>
          <xdr:row>11</xdr:row>
          <xdr:rowOff>504825</xdr:rowOff>
        </xdr:to>
        <xdr:sp macro="" textlink="">
          <xdr:nvSpPr>
            <xdr:cNvPr id="2113" name="Option Button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Zelfstandige stage</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xdr:colOff>
      <xdr:row>5</xdr:row>
      <xdr:rowOff>542924</xdr:rowOff>
    </xdr:from>
    <xdr:to>
      <xdr:col>0</xdr:col>
      <xdr:colOff>1047750</xdr:colOff>
      <xdr:row>5</xdr:row>
      <xdr:rowOff>2171699</xdr:rowOff>
    </xdr:to>
    <xdr:sp macro="" textlink="">
      <xdr:nvSpPr>
        <xdr:cNvPr id="4" name="Rectangular Callout 3"/>
        <xdr:cNvSpPr/>
      </xdr:nvSpPr>
      <xdr:spPr>
        <a:xfrm>
          <a:off x="9525" y="2571749"/>
          <a:ext cx="1038225" cy="1628775"/>
        </a:xfrm>
        <a:prstGeom prst="wedgeRectCallout">
          <a:avLst>
            <a:gd name="adj1" fmla="val 62206"/>
            <a:gd name="adj2" fmla="val -4272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1" u="sng">
              <a:solidFill>
                <a:sysClr val="windowText" lastClr="000000"/>
              </a:solidFill>
            </a:rPr>
            <a:t>Dubbelklik</a:t>
          </a:r>
          <a:r>
            <a:rPr lang="nl-NL" sz="1400" b="1" baseline="0">
              <a:solidFill>
                <a:sysClr val="windowText" lastClr="000000"/>
              </a:solidFill>
            </a:rPr>
            <a:t> op het veld om de tekst te bewerken</a:t>
          </a:r>
          <a:endParaRPr lang="nl-NL" sz="1400" b="1">
            <a:solidFill>
              <a:sysClr val="windowText" lastClr="000000"/>
            </a:solidFill>
          </a:endParaRPr>
        </a:p>
      </xdr:txBody>
    </xdr:sp>
    <xdr:clientData/>
  </xdr:twoCellAnchor>
  <xdr:twoCellAnchor>
    <xdr:from>
      <xdr:col>0</xdr:col>
      <xdr:colOff>28574</xdr:colOff>
      <xdr:row>5</xdr:row>
      <xdr:rowOff>3076575</xdr:rowOff>
    </xdr:from>
    <xdr:to>
      <xdr:col>0</xdr:col>
      <xdr:colOff>1181099</xdr:colOff>
      <xdr:row>5</xdr:row>
      <xdr:rowOff>4638675</xdr:rowOff>
    </xdr:to>
    <xdr:sp macro="" textlink="">
      <xdr:nvSpPr>
        <xdr:cNvPr id="6" name="Rectangular Callout 5"/>
        <xdr:cNvSpPr/>
      </xdr:nvSpPr>
      <xdr:spPr>
        <a:xfrm>
          <a:off x="28574" y="5105400"/>
          <a:ext cx="1152525" cy="1562100"/>
        </a:xfrm>
        <a:prstGeom prst="wedgeRectCallout">
          <a:avLst>
            <a:gd name="adj1" fmla="val 46959"/>
            <a:gd name="adj2" fmla="val -9505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0" u="none">
              <a:solidFill>
                <a:sysClr val="windowText" lastClr="000000"/>
              </a:solidFill>
            </a:rPr>
            <a:t>Kriigt</a:t>
          </a:r>
          <a:r>
            <a:rPr lang="nl-NL" sz="1400" b="0" u="none" baseline="0">
              <a:solidFill>
                <a:sysClr val="windowText" lastClr="000000"/>
              </a:solidFill>
            </a:rPr>
            <a:t> u een foutmelding? Klik die weg (</a:t>
          </a:r>
          <a:r>
            <a:rPr lang="nl-NL" sz="1400" b="1" u="none" baseline="0">
              <a:solidFill>
                <a:sysClr val="windowText" lastClr="000000"/>
              </a:solidFill>
            </a:rPr>
            <a:t>OK</a:t>
          </a:r>
          <a:r>
            <a:rPr lang="nl-NL" sz="1400" b="0" u="none" baseline="0">
              <a:solidFill>
                <a:sysClr val="windowText" lastClr="000000"/>
              </a:solidFill>
            </a:rPr>
            <a:t>) en druk op </a:t>
          </a:r>
          <a:r>
            <a:rPr lang="nl-NL" sz="1400" b="1" u="none" baseline="0">
              <a:solidFill>
                <a:sysClr val="windowText" lastClr="000000"/>
              </a:solidFill>
            </a:rPr>
            <a:t>ESC</a:t>
          </a:r>
          <a:endParaRPr lang="nl-NL" sz="14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8" name="Afbeelding 7"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xdr:colOff>
          <xdr:row>5</xdr:row>
          <xdr:rowOff>19050</xdr:rowOff>
        </xdr:from>
        <xdr:to>
          <xdr:col>5</xdr:col>
          <xdr:colOff>1800225</xdr:colOff>
          <xdr:row>5</xdr:row>
          <xdr:rowOff>5143500</xdr:rowOff>
        </xdr:to>
        <xdr:sp macro="" textlink="">
          <xdr:nvSpPr>
            <xdr:cNvPr id="4098" name="Object 2" hidden="1">
              <a:extLst>
                <a:ext uri="{63B3BB69-23CF-44E3-9099-C40C66FF867C}">
                  <a14:compatExt spid="_x0000_s409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3</xdr:row>
          <xdr:rowOff>9525</xdr:rowOff>
        </xdr:from>
        <xdr:to>
          <xdr:col>0</xdr:col>
          <xdr:colOff>742950</xdr:colOff>
          <xdr:row>4</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13</xdr:row>
      <xdr:rowOff>368300</xdr:rowOff>
    </xdr:from>
    <xdr:to>
      <xdr:col>0</xdr:col>
      <xdr:colOff>1200150</xdr:colOff>
      <xdr:row>13</xdr:row>
      <xdr:rowOff>1143000</xdr:rowOff>
    </xdr:to>
    <xdr:sp macro="" textlink="">
      <xdr:nvSpPr>
        <xdr:cNvPr id="2" name="Rechthoekig bijschrift 1"/>
        <xdr:cNvSpPr/>
      </xdr:nvSpPr>
      <xdr:spPr>
        <a:xfrm>
          <a:off x="31750" y="9848850"/>
          <a:ext cx="1168400" cy="774700"/>
        </a:xfrm>
        <a:prstGeom prst="wedgeRectCallout">
          <a:avLst>
            <a:gd name="adj1" fmla="val -25724"/>
            <a:gd name="adj2" fmla="val -80123"/>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100" b="1">
              <a:solidFill>
                <a:sysClr val="windowText" lastClr="000000"/>
              </a:solidFill>
            </a:rPr>
            <a:t>Alleen invullen bij MVT of BINASK;</a:t>
          </a:r>
          <a:r>
            <a:rPr lang="nl-NL" sz="1100" b="1" baseline="0">
              <a:solidFill>
                <a:sysClr val="windowText" lastClr="000000"/>
              </a:solidFill>
            </a:rPr>
            <a:t> anders openlaten!</a:t>
          </a:r>
          <a:endParaRPr lang="nl-NL" sz="1100" b="1">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5</xdr:row>
          <xdr:rowOff>752475</xdr:rowOff>
        </xdr:from>
        <xdr:to>
          <xdr:col>31</xdr:col>
          <xdr:colOff>114300</xdr:colOff>
          <xdr:row>6</xdr:row>
          <xdr:rowOff>0</xdr:rowOff>
        </xdr:to>
        <xdr:sp macro="" textlink="">
          <xdr:nvSpPr>
            <xdr:cNvPr id="1026" name="Scroll Bar 2"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xdr:row>
          <xdr:rowOff>714375</xdr:rowOff>
        </xdr:from>
        <xdr:to>
          <xdr:col>31</xdr:col>
          <xdr:colOff>123825</xdr:colOff>
          <xdr:row>6</xdr:row>
          <xdr:rowOff>904875</xdr:rowOff>
        </xdr:to>
        <xdr:sp macro="" textlink="">
          <xdr:nvSpPr>
            <xdr:cNvPr id="1028" name="Scroll Bar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638175</xdr:rowOff>
        </xdr:from>
        <xdr:to>
          <xdr:col>31</xdr:col>
          <xdr:colOff>104775</xdr:colOff>
          <xdr:row>8</xdr:row>
          <xdr:rowOff>0</xdr:rowOff>
        </xdr:to>
        <xdr:sp macro="" textlink="">
          <xdr:nvSpPr>
            <xdr:cNvPr id="1029" name="Scroll Bar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666750</xdr:rowOff>
        </xdr:from>
        <xdr:to>
          <xdr:col>31</xdr:col>
          <xdr:colOff>114300</xdr:colOff>
          <xdr:row>9</xdr:row>
          <xdr:rowOff>0</xdr:rowOff>
        </xdr:to>
        <xdr:sp macro="" textlink="">
          <xdr:nvSpPr>
            <xdr:cNvPr id="1030" name="Scroll Bar 6" hidden="1">
              <a:extLst>
                <a:ext uri="{63B3BB69-23CF-44E3-9099-C40C66FF867C}">
                  <a14:compatExt spid="_x0000_s103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9</xdr:row>
          <xdr:rowOff>904875</xdr:rowOff>
        </xdr:from>
        <xdr:to>
          <xdr:col>31</xdr:col>
          <xdr:colOff>114300</xdr:colOff>
          <xdr:row>10</xdr:row>
          <xdr:rowOff>0</xdr:rowOff>
        </xdr:to>
        <xdr:sp macro="" textlink="">
          <xdr:nvSpPr>
            <xdr:cNvPr id="1062" name="Scroll Bar 38" hidden="1">
              <a:extLst>
                <a:ext uri="{63B3BB69-23CF-44E3-9099-C40C66FF867C}">
                  <a14:compatExt spid="_x0000_s1062"/>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10</xdr:row>
          <xdr:rowOff>771525</xdr:rowOff>
        </xdr:from>
        <xdr:to>
          <xdr:col>31</xdr:col>
          <xdr:colOff>142875</xdr:colOff>
          <xdr:row>10</xdr:row>
          <xdr:rowOff>981075</xdr:rowOff>
        </xdr:to>
        <xdr:sp macro="" textlink="">
          <xdr:nvSpPr>
            <xdr:cNvPr id="1071" name="Scroll Bar 47" hidden="1">
              <a:extLst>
                <a:ext uri="{63B3BB69-23CF-44E3-9099-C40C66FF867C}">
                  <a14:compatExt spid="_x0000_s107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847725</xdr:rowOff>
        </xdr:from>
        <xdr:to>
          <xdr:col>31</xdr:col>
          <xdr:colOff>133350</xdr:colOff>
          <xdr:row>12</xdr:row>
          <xdr:rowOff>0</xdr:rowOff>
        </xdr:to>
        <xdr:sp macro="" textlink="">
          <xdr:nvSpPr>
            <xdr:cNvPr id="1074" name="Scroll Bar 50" hidden="1">
              <a:extLst>
                <a:ext uri="{63B3BB69-23CF-44E3-9099-C40C66FF867C}">
                  <a14:compatExt spid="_x0000_s107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590550</xdr:rowOff>
        </xdr:from>
        <xdr:to>
          <xdr:col>31</xdr:col>
          <xdr:colOff>123825</xdr:colOff>
          <xdr:row>13</xdr:row>
          <xdr:rowOff>0</xdr:rowOff>
        </xdr:to>
        <xdr:sp macro="" textlink="">
          <xdr:nvSpPr>
            <xdr:cNvPr id="1075" name="Scroll Bar 51" hidden="1">
              <a:extLst>
                <a:ext uri="{63B3BB69-23CF-44E3-9099-C40C66FF867C}">
                  <a14:compatExt spid="_x0000_s107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1190625</xdr:rowOff>
        </xdr:from>
        <xdr:to>
          <xdr:col>5</xdr:col>
          <xdr:colOff>142875</xdr:colOff>
          <xdr:row>13</xdr:row>
          <xdr:rowOff>1390650</xdr:rowOff>
        </xdr:to>
        <xdr:sp macro="" textlink="">
          <xdr:nvSpPr>
            <xdr:cNvPr id="1076" name="Scroll Bar 52" hidden="1">
              <a:extLst>
                <a:ext uri="{63B3BB69-23CF-44E3-9099-C40C66FF867C}">
                  <a14:compatExt spid="_x0000_s107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14</xdr:row>
          <xdr:rowOff>790575</xdr:rowOff>
        </xdr:from>
        <xdr:to>
          <xdr:col>31</xdr:col>
          <xdr:colOff>142875</xdr:colOff>
          <xdr:row>15</xdr:row>
          <xdr:rowOff>0</xdr:rowOff>
        </xdr:to>
        <xdr:sp macro="" textlink="">
          <xdr:nvSpPr>
            <xdr:cNvPr id="1077" name="Scroll Bar 53" hidden="1">
              <a:extLst>
                <a:ext uri="{63B3BB69-23CF-44E3-9099-C40C66FF867C}">
                  <a14:compatExt spid="_x0000_s107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17</xdr:row>
          <xdr:rowOff>847725</xdr:rowOff>
        </xdr:from>
        <xdr:to>
          <xdr:col>31</xdr:col>
          <xdr:colOff>114300</xdr:colOff>
          <xdr:row>17</xdr:row>
          <xdr:rowOff>1009650</xdr:rowOff>
        </xdr:to>
        <xdr:sp macro="" textlink="">
          <xdr:nvSpPr>
            <xdr:cNvPr id="1086" name="Scroll Bar 62" hidden="1">
              <a:extLst>
                <a:ext uri="{63B3BB69-23CF-44E3-9099-C40C66FF867C}">
                  <a14:compatExt spid="_x0000_s108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18</xdr:row>
          <xdr:rowOff>933450</xdr:rowOff>
        </xdr:from>
        <xdr:to>
          <xdr:col>31</xdr:col>
          <xdr:colOff>133350</xdr:colOff>
          <xdr:row>18</xdr:row>
          <xdr:rowOff>1114425</xdr:rowOff>
        </xdr:to>
        <xdr:sp macro="" textlink="">
          <xdr:nvSpPr>
            <xdr:cNvPr id="1087" name="Scroll Bar 63" hidden="1">
              <a:extLst>
                <a:ext uri="{63B3BB69-23CF-44E3-9099-C40C66FF867C}">
                  <a14:compatExt spid="_x0000_s1087"/>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647700</xdr:rowOff>
        </xdr:from>
        <xdr:to>
          <xdr:col>31</xdr:col>
          <xdr:colOff>133350</xdr:colOff>
          <xdr:row>20</xdr:row>
          <xdr:rowOff>0</xdr:rowOff>
        </xdr:to>
        <xdr:sp macro="" textlink="">
          <xdr:nvSpPr>
            <xdr:cNvPr id="1088" name="Scroll Bar 64" hidden="1">
              <a:extLst>
                <a:ext uri="{63B3BB69-23CF-44E3-9099-C40C66FF867C}">
                  <a14:compatExt spid="_x0000_s108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20</xdr:row>
          <xdr:rowOff>514350</xdr:rowOff>
        </xdr:from>
        <xdr:to>
          <xdr:col>31</xdr:col>
          <xdr:colOff>133350</xdr:colOff>
          <xdr:row>20</xdr:row>
          <xdr:rowOff>685800</xdr:rowOff>
        </xdr:to>
        <xdr:sp macro="" textlink="">
          <xdr:nvSpPr>
            <xdr:cNvPr id="1089" name="Scroll Bar 65" hidden="1">
              <a:extLst>
                <a:ext uri="{63B3BB69-23CF-44E3-9099-C40C66FF867C}">
                  <a14:compatExt spid="_x0000_s10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781050</xdr:rowOff>
        </xdr:from>
        <xdr:to>
          <xdr:col>31</xdr:col>
          <xdr:colOff>76200</xdr:colOff>
          <xdr:row>22</xdr:row>
          <xdr:rowOff>0</xdr:rowOff>
        </xdr:to>
        <xdr:sp macro="" textlink="">
          <xdr:nvSpPr>
            <xdr:cNvPr id="1090" name="Scroll Bar 66" hidden="1">
              <a:extLst>
                <a:ext uri="{63B3BB69-23CF-44E3-9099-C40C66FF867C}">
                  <a14:compatExt spid="_x0000_s109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790575</xdr:rowOff>
        </xdr:from>
        <xdr:to>
          <xdr:col>31</xdr:col>
          <xdr:colOff>133350</xdr:colOff>
          <xdr:row>23</xdr:row>
          <xdr:rowOff>0</xdr:rowOff>
        </xdr:to>
        <xdr:sp macro="" textlink="">
          <xdr:nvSpPr>
            <xdr:cNvPr id="1091" name="Scroll Bar 67" hidden="1">
              <a:extLst>
                <a:ext uri="{63B3BB69-23CF-44E3-9099-C40C66FF867C}">
                  <a14:compatExt spid="_x0000_s109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23</xdr:row>
          <xdr:rowOff>828675</xdr:rowOff>
        </xdr:from>
        <xdr:to>
          <xdr:col>31</xdr:col>
          <xdr:colOff>142875</xdr:colOff>
          <xdr:row>24</xdr:row>
          <xdr:rowOff>0</xdr:rowOff>
        </xdr:to>
        <xdr:sp macro="" textlink="">
          <xdr:nvSpPr>
            <xdr:cNvPr id="1092" name="Scroll Bar 68" hidden="1">
              <a:extLst>
                <a:ext uri="{63B3BB69-23CF-44E3-9099-C40C66FF867C}">
                  <a14:compatExt spid="_x0000_s109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24</xdr:row>
          <xdr:rowOff>790575</xdr:rowOff>
        </xdr:from>
        <xdr:to>
          <xdr:col>31</xdr:col>
          <xdr:colOff>104775</xdr:colOff>
          <xdr:row>25</xdr:row>
          <xdr:rowOff>0</xdr:rowOff>
        </xdr:to>
        <xdr:sp macro="" textlink="">
          <xdr:nvSpPr>
            <xdr:cNvPr id="1093" name="Scroll Bar 69" hidden="1">
              <a:extLst>
                <a:ext uri="{63B3BB69-23CF-44E3-9099-C40C66FF867C}">
                  <a14:compatExt spid="_x0000_s109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25</xdr:row>
          <xdr:rowOff>790575</xdr:rowOff>
        </xdr:from>
        <xdr:to>
          <xdr:col>31</xdr:col>
          <xdr:colOff>142875</xdr:colOff>
          <xdr:row>25</xdr:row>
          <xdr:rowOff>971550</xdr:rowOff>
        </xdr:to>
        <xdr:sp macro="" textlink="">
          <xdr:nvSpPr>
            <xdr:cNvPr id="1094" name="Scroll Bar 70" hidden="1">
              <a:extLst>
                <a:ext uri="{63B3BB69-23CF-44E3-9099-C40C66FF867C}">
                  <a14:compatExt spid="_x0000_s109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28</xdr:row>
          <xdr:rowOff>828675</xdr:rowOff>
        </xdr:from>
        <xdr:to>
          <xdr:col>5</xdr:col>
          <xdr:colOff>142875</xdr:colOff>
          <xdr:row>28</xdr:row>
          <xdr:rowOff>1019175</xdr:rowOff>
        </xdr:to>
        <xdr:sp macro="" textlink="">
          <xdr:nvSpPr>
            <xdr:cNvPr id="1105" name="Scroll Bar 81" hidden="1">
              <a:extLst>
                <a:ext uri="{63B3BB69-23CF-44E3-9099-C40C66FF867C}">
                  <a14:compatExt spid="_x0000_s1105"/>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1238250</xdr:rowOff>
        </xdr:from>
        <xdr:to>
          <xdr:col>31</xdr:col>
          <xdr:colOff>104775</xdr:colOff>
          <xdr:row>29</xdr:row>
          <xdr:rowOff>1438275</xdr:rowOff>
        </xdr:to>
        <xdr:sp macro="" textlink="">
          <xdr:nvSpPr>
            <xdr:cNvPr id="1106" name="Scroll Bar 82" hidden="1">
              <a:extLst>
                <a:ext uri="{63B3BB69-23CF-44E3-9099-C40C66FF867C}">
                  <a14:compatExt spid="_x0000_s110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1171575</xdr:rowOff>
        </xdr:from>
        <xdr:to>
          <xdr:col>31</xdr:col>
          <xdr:colOff>114300</xdr:colOff>
          <xdr:row>31</xdr:row>
          <xdr:rowOff>0</xdr:rowOff>
        </xdr:to>
        <xdr:sp macro="" textlink="">
          <xdr:nvSpPr>
            <xdr:cNvPr id="1107" name="Scroll Bar 83" hidden="1">
              <a:extLst>
                <a:ext uri="{63B3BB69-23CF-44E3-9099-C40C66FF867C}">
                  <a14:compatExt spid="_x0000_s110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1314450</xdr:rowOff>
        </xdr:from>
        <xdr:to>
          <xdr:col>31</xdr:col>
          <xdr:colOff>142875</xdr:colOff>
          <xdr:row>32</xdr:row>
          <xdr:rowOff>0</xdr:rowOff>
        </xdr:to>
        <xdr:sp macro="" textlink="">
          <xdr:nvSpPr>
            <xdr:cNvPr id="1108" name="Scroll Bar 84" hidden="1">
              <a:extLst>
                <a:ext uri="{63B3BB69-23CF-44E3-9099-C40C66FF867C}">
                  <a14:compatExt spid="_x0000_s110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895350</xdr:rowOff>
        </xdr:from>
        <xdr:to>
          <xdr:col>5</xdr:col>
          <xdr:colOff>180975</xdr:colOff>
          <xdr:row>32</xdr:row>
          <xdr:rowOff>1085850</xdr:rowOff>
        </xdr:to>
        <xdr:sp macro="" textlink="">
          <xdr:nvSpPr>
            <xdr:cNvPr id="1109" name="Scroll Bar 85" hidden="1">
              <a:extLst>
                <a:ext uri="{63B3BB69-23CF-44E3-9099-C40C66FF867C}">
                  <a14:compatExt spid="_x0000_s1109"/>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33</xdr:row>
          <xdr:rowOff>552450</xdr:rowOff>
        </xdr:from>
        <xdr:to>
          <xdr:col>31</xdr:col>
          <xdr:colOff>114300</xdr:colOff>
          <xdr:row>33</xdr:row>
          <xdr:rowOff>752475</xdr:rowOff>
        </xdr:to>
        <xdr:sp macro="" textlink="">
          <xdr:nvSpPr>
            <xdr:cNvPr id="1110" name="Scroll Bar 86" hidden="1">
              <a:extLst>
                <a:ext uri="{63B3BB69-23CF-44E3-9099-C40C66FF867C}">
                  <a14:compatExt spid="_x0000_s111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847725</xdr:rowOff>
        </xdr:from>
        <xdr:to>
          <xdr:col>31</xdr:col>
          <xdr:colOff>142875</xdr:colOff>
          <xdr:row>35</xdr:row>
          <xdr:rowOff>0</xdr:rowOff>
        </xdr:to>
        <xdr:sp macro="" textlink="">
          <xdr:nvSpPr>
            <xdr:cNvPr id="1111" name="Scroll Bar 87" hidden="1">
              <a:extLst>
                <a:ext uri="{63B3BB69-23CF-44E3-9099-C40C66FF867C}">
                  <a14:compatExt spid="_x0000_s111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12</xdr:col>
      <xdr:colOff>104774</xdr:colOff>
      <xdr:row>5</xdr:row>
      <xdr:rowOff>142874</xdr:rowOff>
    </xdr:from>
    <xdr:to>
      <xdr:col>22</xdr:col>
      <xdr:colOff>38099</xdr:colOff>
      <xdr:row>27</xdr:row>
      <xdr:rowOff>95250</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831256</xdr:colOff>
      <xdr:row>0</xdr:row>
      <xdr:rowOff>85725</xdr:rowOff>
    </xdr:from>
    <xdr:to>
      <xdr:col>5</xdr:col>
      <xdr:colOff>1755180</xdr:colOff>
      <xdr:row>0</xdr:row>
      <xdr:rowOff>671239</xdr:rowOff>
    </xdr:to>
    <xdr:pic>
      <xdr:nvPicPr>
        <xdr:cNvPr id="5" name="Afbeelding 4"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831256</xdr:colOff>
      <xdr:row>0</xdr:row>
      <xdr:rowOff>85725</xdr:rowOff>
    </xdr:from>
    <xdr:to>
      <xdr:col>5</xdr:col>
      <xdr:colOff>1755180</xdr:colOff>
      <xdr:row>0</xdr:row>
      <xdr:rowOff>671239</xdr:rowOff>
    </xdr:to>
    <xdr:pic>
      <xdr:nvPicPr>
        <xdr:cNvPr id="2" name="Afbeelding 4"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xdr:from>
          <xdr:col>1</xdr:col>
          <xdr:colOff>1000125</xdr:colOff>
          <xdr:row>11</xdr:row>
          <xdr:rowOff>85725</xdr:rowOff>
        </xdr:from>
        <xdr:to>
          <xdr:col>1</xdr:col>
          <xdr:colOff>1819275</xdr:colOff>
          <xdr:row>11</xdr:row>
          <xdr:rowOff>371475</xdr:rowOff>
        </xdr:to>
        <xdr:sp macro="" textlink="">
          <xdr:nvSpPr>
            <xdr:cNvPr id="8198" name="Option Button 6" descr="Begeleide Stage&#10;"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Voltijd</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1000125</xdr:colOff>
          <xdr:row>11</xdr:row>
          <xdr:rowOff>276225</xdr:rowOff>
        </xdr:from>
        <xdr:to>
          <xdr:col>1</xdr:col>
          <xdr:colOff>1809750</xdr:colOff>
          <xdr:row>11</xdr:row>
          <xdr:rowOff>581025</xdr:rowOff>
        </xdr:to>
        <xdr:sp macro="" textlink="">
          <xdr:nvSpPr>
            <xdr:cNvPr id="8199" name="Option Button 7" descr="Begeleide Stage&#10;"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Deeltijd</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428625</xdr:colOff>
          <xdr:row>15</xdr:row>
          <xdr:rowOff>19050</xdr:rowOff>
        </xdr:from>
        <xdr:to>
          <xdr:col>5</xdr:col>
          <xdr:colOff>1828800</xdr:colOff>
          <xdr:row>16</xdr:row>
          <xdr:rowOff>0</xdr:rowOff>
        </xdr:to>
        <xdr:sp macro="" textlink="">
          <xdr:nvSpPr>
            <xdr:cNvPr id="8200" name="Scroll Bar 8" hidden="1">
              <a:extLst>
                <a:ext uri="{63B3BB69-23CF-44E3-9099-C40C66FF867C}">
                  <a14:compatExt spid="_x0000_s82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22</xdr:row>
          <xdr:rowOff>66675</xdr:rowOff>
        </xdr:from>
        <xdr:to>
          <xdr:col>0</xdr:col>
          <xdr:colOff>619125</xdr:colOff>
          <xdr:row>22</xdr:row>
          <xdr:rowOff>219075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23</xdr:row>
          <xdr:rowOff>66675</xdr:rowOff>
        </xdr:from>
        <xdr:to>
          <xdr:col>0</xdr:col>
          <xdr:colOff>619125</xdr:colOff>
          <xdr:row>23</xdr:row>
          <xdr:rowOff>219075</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24</xdr:row>
          <xdr:rowOff>66675</xdr:rowOff>
        </xdr:from>
        <xdr:to>
          <xdr:col>0</xdr:col>
          <xdr:colOff>619125</xdr:colOff>
          <xdr:row>24</xdr:row>
          <xdr:rowOff>219075</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66675</xdr:rowOff>
        </xdr:from>
        <xdr:to>
          <xdr:col>0</xdr:col>
          <xdr:colOff>619125</xdr:colOff>
          <xdr:row>25</xdr:row>
          <xdr:rowOff>219075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0</xdr:col>
      <xdr:colOff>9525</xdr:colOff>
      <xdr:row>28</xdr:row>
      <xdr:rowOff>542924</xdr:rowOff>
    </xdr:from>
    <xdr:to>
      <xdr:col>0</xdr:col>
      <xdr:colOff>1047750</xdr:colOff>
      <xdr:row>28</xdr:row>
      <xdr:rowOff>2171699</xdr:rowOff>
    </xdr:to>
    <xdr:sp macro="" textlink="">
      <xdr:nvSpPr>
        <xdr:cNvPr id="11" name="Rectangular Callout 10"/>
        <xdr:cNvSpPr/>
      </xdr:nvSpPr>
      <xdr:spPr>
        <a:xfrm>
          <a:off x="9525" y="2571749"/>
          <a:ext cx="1038225" cy="1628775"/>
        </a:xfrm>
        <a:prstGeom prst="wedgeRectCallout">
          <a:avLst>
            <a:gd name="adj1" fmla="val 62206"/>
            <a:gd name="adj2" fmla="val -4272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1" u="sng">
              <a:solidFill>
                <a:sysClr val="windowText" lastClr="000000"/>
              </a:solidFill>
            </a:rPr>
            <a:t>Dubbelklik</a:t>
          </a:r>
          <a:r>
            <a:rPr lang="nl-NL" sz="1400" b="1" baseline="0">
              <a:solidFill>
                <a:sysClr val="windowText" lastClr="000000"/>
              </a:solidFill>
            </a:rPr>
            <a:t> op het veld om de tekst te bewerken</a:t>
          </a:r>
          <a:endParaRPr lang="nl-NL" sz="1400" b="1">
            <a:solidFill>
              <a:sysClr val="windowText" lastClr="000000"/>
            </a:solidFill>
          </a:endParaRPr>
        </a:p>
      </xdr:txBody>
    </xdr:sp>
    <xdr:clientData/>
  </xdr:twoCellAnchor>
  <xdr:twoCellAnchor>
    <xdr:from>
      <xdr:col>0</xdr:col>
      <xdr:colOff>28574</xdr:colOff>
      <xdr:row>28</xdr:row>
      <xdr:rowOff>3076575</xdr:rowOff>
    </xdr:from>
    <xdr:to>
      <xdr:col>0</xdr:col>
      <xdr:colOff>1181099</xdr:colOff>
      <xdr:row>28</xdr:row>
      <xdr:rowOff>4638675</xdr:rowOff>
    </xdr:to>
    <xdr:sp macro="" textlink="">
      <xdr:nvSpPr>
        <xdr:cNvPr id="12" name="Rectangular Callout 11"/>
        <xdr:cNvSpPr/>
      </xdr:nvSpPr>
      <xdr:spPr>
        <a:xfrm>
          <a:off x="28574" y="5105400"/>
          <a:ext cx="1152525" cy="1562100"/>
        </a:xfrm>
        <a:prstGeom prst="wedgeRectCallout">
          <a:avLst>
            <a:gd name="adj1" fmla="val 46959"/>
            <a:gd name="adj2" fmla="val -9505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0" u="none">
              <a:solidFill>
                <a:sysClr val="windowText" lastClr="000000"/>
              </a:solidFill>
            </a:rPr>
            <a:t>Kriigt</a:t>
          </a:r>
          <a:r>
            <a:rPr lang="nl-NL" sz="1400" b="0" u="none" baseline="0">
              <a:solidFill>
                <a:sysClr val="windowText" lastClr="000000"/>
              </a:solidFill>
            </a:rPr>
            <a:t> u een foutmelding? Klik die weg (</a:t>
          </a:r>
          <a:r>
            <a:rPr lang="nl-NL" sz="1400" b="1" u="none" baseline="0">
              <a:solidFill>
                <a:sysClr val="windowText" lastClr="000000"/>
              </a:solidFill>
            </a:rPr>
            <a:t>OK</a:t>
          </a:r>
          <a:r>
            <a:rPr lang="nl-NL" sz="1400" b="0" u="none" baseline="0">
              <a:solidFill>
                <a:sysClr val="windowText" lastClr="000000"/>
              </a:solidFill>
            </a:rPr>
            <a:t>) en druk op </a:t>
          </a:r>
          <a:r>
            <a:rPr lang="nl-NL" sz="1400" b="1" u="none" baseline="0">
              <a:solidFill>
                <a:sysClr val="windowText" lastClr="000000"/>
              </a:solidFill>
            </a:rPr>
            <a:t>ESC</a:t>
          </a:r>
          <a:endParaRPr lang="nl-NL" sz="1400" b="0" u="none">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28</xdr:row>
          <xdr:rowOff>19050</xdr:rowOff>
        </xdr:from>
        <xdr:to>
          <xdr:col>5</xdr:col>
          <xdr:colOff>1809750</xdr:colOff>
          <xdr:row>29</xdr:row>
          <xdr:rowOff>133350</xdr:rowOff>
        </xdr:to>
        <xdr:sp macro="" textlink="">
          <xdr:nvSpPr>
            <xdr:cNvPr id="8206" name="Object 14" hidden="1">
              <a:extLst>
                <a:ext uri="{63B3BB69-23CF-44E3-9099-C40C66FF867C}">
                  <a14:compatExt spid="_x0000_s820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26</xdr:row>
          <xdr:rowOff>66675</xdr:rowOff>
        </xdr:from>
        <xdr:to>
          <xdr:col>0</xdr:col>
          <xdr:colOff>619125</xdr:colOff>
          <xdr:row>26</xdr:row>
          <xdr:rowOff>219075</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omments" Target="../comments1.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package" Target="../embeddings/Microsoft_Word-document.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5.xml"/><Relationship Id="rId5" Type="http://schemas.openxmlformats.org/officeDocument/2006/relationships/image" Target="../media/image3.emf"/><Relationship Id="rId4" Type="http://schemas.openxmlformats.org/officeDocument/2006/relationships/package" Target="../embeddings/Microsoft_Word-document1.docx"/></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3" Type="http://schemas.openxmlformats.org/officeDocument/2006/relationships/vmlDrawing" Target="../drawings/vmlDrawing3.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2" Type="http://schemas.openxmlformats.org/officeDocument/2006/relationships/drawing" Target="../drawings/drawing3.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4.xml"/><Relationship Id="rId13" Type="http://schemas.openxmlformats.org/officeDocument/2006/relationships/ctrlProp" Target="../ctrlProps/ctrlProp69.xml"/><Relationship Id="rId3" Type="http://schemas.openxmlformats.org/officeDocument/2006/relationships/vmlDrawing" Target="../drawings/vmlDrawing4.vml"/><Relationship Id="rId7" Type="http://schemas.openxmlformats.org/officeDocument/2006/relationships/ctrlProp" Target="../ctrlProps/ctrlProp63.xml"/><Relationship Id="rId12" Type="http://schemas.openxmlformats.org/officeDocument/2006/relationships/ctrlProp" Target="../ctrlProps/ctrlProp68.xml"/><Relationship Id="rId2" Type="http://schemas.openxmlformats.org/officeDocument/2006/relationships/drawing" Target="../drawings/drawing6.xml"/><Relationship Id="rId1" Type="http://schemas.openxmlformats.org/officeDocument/2006/relationships/printerSettings" Target="../printerSettings/printerSettings4.bin"/><Relationship Id="rId6" Type="http://schemas.openxmlformats.org/officeDocument/2006/relationships/ctrlProp" Target="../ctrlProps/ctrlProp62.xml"/><Relationship Id="rId11" Type="http://schemas.openxmlformats.org/officeDocument/2006/relationships/ctrlProp" Target="../ctrlProps/ctrlProp67.xml"/><Relationship Id="rId5" Type="http://schemas.openxmlformats.org/officeDocument/2006/relationships/image" Target="../media/image4.emf"/><Relationship Id="rId10" Type="http://schemas.openxmlformats.org/officeDocument/2006/relationships/ctrlProp" Target="../ctrlProps/ctrlProp66.xml"/><Relationship Id="rId4" Type="http://schemas.openxmlformats.org/officeDocument/2006/relationships/package" Target="../embeddings/Microsoft_Word-document2.docx"/><Relationship Id="rId9" Type="http://schemas.openxmlformats.org/officeDocument/2006/relationships/ctrlProp" Target="../ctrlProps/ctrlProp65.xml"/><Relationship Id="rId1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F50"/>
  <sheetViews>
    <sheetView tabSelected="1" zoomScaleNormal="100" workbookViewId="0">
      <pane ySplit="3" topLeftCell="A4" activePane="bottomLeft" state="frozen"/>
      <selection pane="bottomLeft" activeCell="C7" sqref="C7:F7"/>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7" width="11.7109375" hidden="1" customWidth="1"/>
    <col min="8" max="8" width="11.42578125" hidden="1" customWidth="1"/>
    <col min="9" max="9" width="9.140625" hidden="1" customWidth="1"/>
    <col min="10" max="10" width="11.42578125" hidden="1" customWidth="1"/>
    <col min="11" max="11" width="12.28515625" hidden="1" customWidth="1"/>
    <col min="12" max="12" width="13.7109375" hidden="1" customWidth="1"/>
    <col min="13" max="13" width="18.85546875" hidden="1" customWidth="1"/>
  </cols>
  <sheetData>
    <row r="1" spans="1:32" ht="55.5" customHeight="1" thickTop="1" thickBot="1" x14ac:dyDescent="0.3">
      <c r="A1" s="188" t="s">
        <v>253</v>
      </c>
      <c r="B1" s="189"/>
      <c r="C1" s="189"/>
      <c r="D1" s="189"/>
      <c r="E1" s="189"/>
      <c r="F1" s="190"/>
      <c r="G1" s="116"/>
      <c r="H1" s="1"/>
      <c r="I1" s="116"/>
      <c r="J1" s="116"/>
      <c r="K1" s="116"/>
      <c r="L1" s="116"/>
      <c r="M1" s="116"/>
      <c r="N1" s="3"/>
      <c r="O1" s="3"/>
      <c r="P1" s="116"/>
      <c r="Q1" s="116"/>
      <c r="R1" s="116"/>
      <c r="S1" s="4"/>
      <c r="T1" s="4"/>
      <c r="U1" s="4"/>
      <c r="V1" s="4"/>
      <c r="W1" s="4"/>
      <c r="X1" s="4"/>
      <c r="Y1" s="4"/>
      <c r="Z1" s="4"/>
      <c r="AA1" s="4"/>
      <c r="AB1" s="4"/>
      <c r="AC1" s="4"/>
      <c r="AD1" s="4"/>
      <c r="AE1" s="4"/>
      <c r="AF1" s="4"/>
    </row>
    <row r="2" spans="1:32" ht="22.5" customHeight="1" thickTop="1" thickBot="1" x14ac:dyDescent="0.3">
      <c r="A2" s="67"/>
      <c r="B2" s="68" t="str">
        <f>C12</f>
        <v>Tussenevaluatie</v>
      </c>
      <c r="C2" s="68" t="str">
        <f>CONCATENATE("deelcijfer VD: ",D39)</f>
        <v>deelcijfer VD: 0</v>
      </c>
      <c r="D2" s="68" t="str">
        <f>CONCATENATE("deelcijfer PD: ",D40)</f>
        <v>deelcijfer PD: 0</v>
      </c>
      <c r="E2" s="68" t="str">
        <f>CONCATENATE("deelcijfer PR: ",D41)</f>
        <v>deelcijfer PR: 0</v>
      </c>
      <c r="F2" s="69" t="str">
        <f>CONCATENATE("Eindcijfer: ",F43)</f>
        <v>Eindcijfer: 0</v>
      </c>
      <c r="G2" s="90" t="b">
        <f>AND(Rubric!G6:'Rubric'!G15)</f>
        <v>0</v>
      </c>
      <c r="H2" s="13" t="b">
        <f>AND(Rubric!G18:'Rubric'!G26)</f>
        <v>0</v>
      </c>
      <c r="I2" s="117" t="b">
        <f>AND(Rubric!G29:'Rubric'!G35)</f>
        <v>0</v>
      </c>
      <c r="J2" s="117" t="b">
        <f>AND(D38,H32,H33)</f>
        <v>0</v>
      </c>
      <c r="K2" s="117" t="b">
        <f>NOT(OR(D39&lt;5.51,D40&lt;5.51,D41&lt;5.51))</f>
        <v>0</v>
      </c>
      <c r="L2" s="117"/>
      <c r="M2" s="117"/>
      <c r="N2" s="15"/>
      <c r="O2" s="15"/>
      <c r="P2" s="117"/>
      <c r="Q2" s="117"/>
      <c r="R2" s="117"/>
      <c r="S2" s="16"/>
      <c r="T2" s="16"/>
      <c r="U2" s="16"/>
      <c r="V2" s="16"/>
      <c r="W2" s="16"/>
      <c r="X2" s="16"/>
      <c r="Y2" s="16"/>
      <c r="Z2" s="16"/>
      <c r="AA2" s="16"/>
      <c r="AB2" s="16"/>
      <c r="AC2" s="16"/>
      <c r="AD2" s="16"/>
      <c r="AE2" s="16"/>
      <c r="AF2" s="16"/>
    </row>
    <row r="3" spans="1:32" ht="21" customHeight="1" thickTop="1" thickBot="1" x14ac:dyDescent="0.3">
      <c r="A3" s="5"/>
      <c r="B3" s="6" t="s">
        <v>10</v>
      </c>
      <c r="C3" s="6" t="s">
        <v>11</v>
      </c>
      <c r="D3" s="6" t="s">
        <v>12</v>
      </c>
      <c r="E3" s="6" t="s">
        <v>0</v>
      </c>
      <c r="F3" s="7" t="s">
        <v>1</v>
      </c>
      <c r="G3" s="91"/>
      <c r="H3" s="8"/>
      <c r="I3" s="9"/>
      <c r="J3" s="9"/>
      <c r="K3" s="9"/>
      <c r="L3" s="9"/>
      <c r="M3" s="9"/>
      <c r="N3" s="10"/>
      <c r="O3" s="10"/>
      <c r="P3" s="11"/>
      <c r="Q3" s="11"/>
      <c r="R3" s="11"/>
      <c r="S3" s="11"/>
      <c r="T3" s="11"/>
      <c r="U3" s="11"/>
      <c r="V3" s="11"/>
      <c r="W3" s="11"/>
      <c r="X3" s="11"/>
      <c r="Y3" s="11"/>
      <c r="Z3" s="11"/>
      <c r="AA3" s="11"/>
      <c r="AB3" s="11"/>
      <c r="AC3" s="11"/>
      <c r="AD3" s="11"/>
      <c r="AE3" s="11"/>
      <c r="AF3" s="12"/>
    </row>
    <row r="4" spans="1:32" ht="26.25" thickTop="1" x14ac:dyDescent="0.35">
      <c r="A4" s="212" t="s">
        <v>283</v>
      </c>
      <c r="B4" s="213"/>
      <c r="C4" s="213"/>
      <c r="D4" s="213"/>
      <c r="E4" s="213"/>
      <c r="F4" s="214"/>
      <c r="G4" s="91"/>
      <c r="H4" s="70"/>
      <c r="I4" s="71"/>
      <c r="J4" s="71"/>
      <c r="K4" s="71"/>
      <c r="L4" s="71"/>
      <c r="M4" s="71"/>
      <c r="N4" s="72"/>
      <c r="O4" s="72"/>
      <c r="P4" s="71"/>
      <c r="Q4" s="71"/>
      <c r="R4" s="71"/>
      <c r="S4" s="73"/>
      <c r="T4" s="73"/>
      <c r="U4" s="73"/>
      <c r="V4" s="73"/>
      <c r="W4" s="73"/>
      <c r="X4" s="73"/>
      <c r="Y4" s="73"/>
      <c r="Z4" s="73"/>
      <c r="AA4" s="73"/>
      <c r="AB4" s="73"/>
      <c r="AC4" s="73"/>
      <c r="AD4" s="73"/>
      <c r="AE4" s="73"/>
      <c r="AF4" s="73"/>
    </row>
    <row r="5" spans="1:32" ht="20.25" customHeight="1" x14ac:dyDescent="0.25">
      <c r="A5" s="191" t="s">
        <v>6</v>
      </c>
      <c r="B5" s="192"/>
      <c r="C5" s="193"/>
      <c r="D5" s="193"/>
      <c r="E5" s="193"/>
      <c r="F5" s="194"/>
      <c r="G5" s="91"/>
      <c r="H5" s="13"/>
      <c r="I5" s="117"/>
      <c r="J5" s="117"/>
      <c r="K5" s="117"/>
      <c r="L5" s="117"/>
      <c r="M5" s="117"/>
      <c r="N5" s="15"/>
      <c r="O5" s="15"/>
      <c r="P5" s="117"/>
      <c r="Q5" s="117"/>
      <c r="R5" s="117"/>
      <c r="S5" s="16"/>
      <c r="T5" s="16"/>
      <c r="U5" s="16"/>
      <c r="V5" s="16"/>
      <c r="W5" s="16"/>
      <c r="X5" s="16"/>
      <c r="Y5" s="16"/>
      <c r="Z5" s="16"/>
      <c r="AA5" s="16"/>
      <c r="AB5" s="16"/>
      <c r="AC5" s="16"/>
      <c r="AD5" s="16"/>
      <c r="AE5" s="16"/>
      <c r="AF5" s="16"/>
    </row>
    <row r="6" spans="1:32" ht="20.25" customHeight="1" x14ac:dyDescent="0.25">
      <c r="A6" s="191" t="s">
        <v>256</v>
      </c>
      <c r="B6" s="192"/>
      <c r="C6" s="193"/>
      <c r="D6" s="193"/>
      <c r="E6" s="193"/>
      <c r="F6" s="194"/>
      <c r="G6" s="91"/>
      <c r="H6" s="13"/>
      <c r="I6" s="137"/>
      <c r="J6" s="137"/>
      <c r="K6" s="137"/>
      <c r="L6" s="137"/>
      <c r="M6" s="137"/>
      <c r="N6" s="15"/>
      <c r="O6" s="15"/>
      <c r="P6" s="137"/>
      <c r="Q6" s="137"/>
      <c r="R6" s="137"/>
      <c r="S6" s="16"/>
      <c r="T6" s="16"/>
      <c r="U6" s="16"/>
      <c r="V6" s="16"/>
      <c r="W6" s="16"/>
      <c r="X6" s="16"/>
      <c r="Y6" s="16"/>
      <c r="Z6" s="16"/>
      <c r="AA6" s="16"/>
      <c r="AB6" s="16"/>
      <c r="AC6" s="16"/>
      <c r="AD6" s="16"/>
      <c r="AE6" s="16"/>
      <c r="AF6" s="16"/>
    </row>
    <row r="7" spans="1:32" ht="18.75" customHeight="1" x14ac:dyDescent="0.25">
      <c r="A7" s="191" t="s">
        <v>235</v>
      </c>
      <c r="B7" s="192"/>
      <c r="C7" s="193"/>
      <c r="D7" s="193"/>
      <c r="E7" s="193"/>
      <c r="F7" s="194"/>
      <c r="G7" s="91"/>
      <c r="H7" s="13"/>
      <c r="I7" s="117"/>
      <c r="J7" s="117"/>
      <c r="K7" s="117"/>
      <c r="L7" s="117"/>
      <c r="M7" s="117"/>
      <c r="N7" s="15"/>
      <c r="O7" s="15"/>
      <c r="P7" s="117"/>
      <c r="Q7" s="117"/>
      <c r="R7" s="117"/>
      <c r="S7" s="16"/>
      <c r="T7" s="16"/>
      <c r="U7" s="16"/>
      <c r="V7" s="16"/>
      <c r="W7" s="16"/>
      <c r="X7" s="16"/>
      <c r="Y7" s="16"/>
      <c r="Z7" s="16"/>
      <c r="AA7" s="16"/>
      <c r="AB7" s="16"/>
      <c r="AC7" s="16"/>
      <c r="AD7" s="16"/>
      <c r="AE7" s="16"/>
      <c r="AF7" s="16"/>
    </row>
    <row r="8" spans="1:32" ht="19.5" customHeight="1" x14ac:dyDescent="0.25">
      <c r="A8" s="191" t="s">
        <v>236</v>
      </c>
      <c r="B8" s="192"/>
      <c r="C8" s="193"/>
      <c r="D8" s="193"/>
      <c r="E8" s="193"/>
      <c r="F8" s="194"/>
      <c r="G8" s="91"/>
      <c r="H8" s="13"/>
      <c r="I8" s="117"/>
      <c r="J8" s="117"/>
      <c r="K8" s="117"/>
      <c r="L8" s="117"/>
      <c r="M8" s="117"/>
      <c r="N8" s="15"/>
      <c r="O8" s="15"/>
      <c r="P8" s="117"/>
      <c r="Q8" s="117"/>
      <c r="R8" s="117"/>
      <c r="S8" s="16"/>
      <c r="T8" s="16"/>
      <c r="U8" s="16"/>
      <c r="V8" s="16"/>
      <c r="W8" s="16"/>
      <c r="X8" s="16"/>
      <c r="Y8" s="16"/>
      <c r="Z8" s="16"/>
      <c r="AA8" s="16"/>
      <c r="AB8" s="16"/>
      <c r="AC8" s="16"/>
      <c r="AD8" s="16"/>
      <c r="AE8" s="16"/>
      <c r="AF8" s="16"/>
    </row>
    <row r="9" spans="1:32" ht="18" customHeight="1" x14ac:dyDescent="0.25">
      <c r="A9" s="191" t="s">
        <v>172</v>
      </c>
      <c r="B9" s="192"/>
      <c r="C9" s="193"/>
      <c r="D9" s="193"/>
      <c r="E9" s="193"/>
      <c r="F9" s="194"/>
      <c r="G9" s="91"/>
      <c r="H9" s="13"/>
      <c r="I9" s="117"/>
      <c r="J9" s="117"/>
      <c r="K9" s="117"/>
      <c r="L9" s="117"/>
      <c r="M9" s="117"/>
      <c r="N9" s="15"/>
      <c r="O9" s="15"/>
      <c r="P9" s="117"/>
      <c r="Q9" s="117"/>
      <c r="R9" s="117"/>
      <c r="S9" s="16"/>
      <c r="T9" s="16"/>
      <c r="U9" s="16"/>
      <c r="V9" s="16"/>
      <c r="W9" s="16"/>
      <c r="X9" s="16"/>
      <c r="Y9" s="16"/>
      <c r="Z9" s="16"/>
      <c r="AA9" s="16"/>
      <c r="AB9" s="16"/>
      <c r="AC9" s="16"/>
      <c r="AD9" s="16"/>
      <c r="AE9" s="16"/>
      <c r="AF9" s="16"/>
    </row>
    <row r="10" spans="1:32" ht="18" customHeight="1" x14ac:dyDescent="0.25">
      <c r="A10" s="191" t="s">
        <v>225</v>
      </c>
      <c r="B10" s="192"/>
      <c r="C10" s="193"/>
      <c r="D10" s="193"/>
      <c r="E10" s="193"/>
      <c r="F10" s="194"/>
      <c r="G10" s="91"/>
      <c r="H10" s="13"/>
      <c r="I10" s="131"/>
      <c r="J10" s="131"/>
      <c r="K10" s="131"/>
      <c r="L10" s="131"/>
      <c r="M10" s="131"/>
      <c r="N10" s="15"/>
      <c r="O10" s="15"/>
      <c r="P10" s="131"/>
      <c r="Q10" s="131"/>
      <c r="R10" s="131"/>
      <c r="S10" s="16"/>
      <c r="T10" s="16"/>
      <c r="U10" s="16"/>
      <c r="V10" s="16"/>
      <c r="W10" s="16"/>
      <c r="X10" s="16"/>
      <c r="Y10" s="16"/>
      <c r="Z10" s="16"/>
      <c r="AA10" s="16"/>
      <c r="AB10" s="16"/>
      <c r="AC10" s="16"/>
      <c r="AD10" s="16"/>
      <c r="AE10" s="16"/>
      <c r="AF10" s="16"/>
    </row>
    <row r="11" spans="1:32" ht="20.25" customHeight="1" thickBot="1" x14ac:dyDescent="0.3">
      <c r="A11" s="191" t="s">
        <v>7</v>
      </c>
      <c r="B11" s="192"/>
      <c r="C11" s="193"/>
      <c r="D11" s="193"/>
      <c r="E11" s="193"/>
      <c r="F11" s="194"/>
      <c r="G11" s="91"/>
      <c r="H11" s="13"/>
      <c r="I11" s="117"/>
      <c r="J11" s="117"/>
      <c r="K11" s="117"/>
      <c r="L11" s="117"/>
      <c r="M11" s="117"/>
      <c r="N11" s="15"/>
      <c r="O11" s="15"/>
      <c r="P11" s="117"/>
      <c r="Q11" s="117"/>
      <c r="R11" s="117"/>
      <c r="S11" s="16"/>
      <c r="T11" s="16"/>
      <c r="U11" s="16"/>
      <c r="V11" s="16"/>
      <c r="W11" s="16"/>
      <c r="X11" s="16"/>
      <c r="Y11" s="16"/>
      <c r="Z11" s="16"/>
      <c r="AA11" s="16"/>
      <c r="AB11" s="16"/>
      <c r="AC11" s="16"/>
      <c r="AD11" s="16"/>
      <c r="AE11" s="16"/>
      <c r="AF11" s="16"/>
    </row>
    <row r="12" spans="1:32" ht="60.75" customHeight="1" thickTop="1" thickBot="1" x14ac:dyDescent="0.3">
      <c r="A12" s="208"/>
      <c r="B12" s="209"/>
      <c r="C12" s="210" t="str">
        <f>IF(H12=1,"Tussenevaluatie",IF(H12=2,"Begeleide Stage","Zelfstandige Stage"))</f>
        <v>Tussenevaluatie</v>
      </c>
      <c r="D12" s="210"/>
      <c r="E12" s="210"/>
      <c r="F12" s="211"/>
      <c r="G12" s="91"/>
      <c r="H12" s="13">
        <v>1</v>
      </c>
      <c r="I12" s="117"/>
      <c r="J12" s="117"/>
      <c r="K12" s="117"/>
      <c r="L12" s="117"/>
      <c r="M12" s="117"/>
      <c r="N12" s="15"/>
      <c r="O12" s="15"/>
      <c r="P12" s="117"/>
      <c r="Q12" s="117"/>
      <c r="R12" s="117"/>
      <c r="S12" s="16"/>
      <c r="T12" s="16"/>
      <c r="U12" s="16"/>
      <c r="V12" s="16"/>
      <c r="W12" s="16"/>
      <c r="X12" s="16"/>
      <c r="Y12" s="16"/>
      <c r="Z12" s="16"/>
      <c r="AA12" s="16"/>
      <c r="AB12" s="16"/>
      <c r="AC12" s="16"/>
      <c r="AD12" s="16"/>
      <c r="AE12" s="16"/>
      <c r="AF12" s="16"/>
    </row>
    <row r="13" spans="1:32" ht="19.5" customHeight="1" thickTop="1" x14ac:dyDescent="0.25">
      <c r="A13" s="74"/>
      <c r="B13" s="195" t="s">
        <v>170</v>
      </c>
      <c r="C13" s="195"/>
      <c r="D13" s="195"/>
      <c r="E13" s="195"/>
      <c r="F13" s="75">
        <v>150</v>
      </c>
      <c r="G13" s="91"/>
      <c r="H13" s="13"/>
      <c r="I13" s="117"/>
      <c r="J13" s="117"/>
      <c r="K13" s="117"/>
      <c r="L13" s="117"/>
      <c r="M13" s="117"/>
      <c r="N13" s="15"/>
      <c r="O13" s="15"/>
      <c r="P13" s="117"/>
      <c r="Q13" s="117"/>
      <c r="R13" s="117"/>
      <c r="S13" s="16"/>
      <c r="T13" s="16"/>
      <c r="U13" s="16"/>
      <c r="V13" s="16"/>
      <c r="W13" s="16"/>
      <c r="X13" s="16"/>
      <c r="Y13" s="16"/>
      <c r="Z13" s="16"/>
      <c r="AA13" s="16"/>
      <c r="AB13" s="16"/>
      <c r="AC13" s="16"/>
      <c r="AD13" s="16"/>
      <c r="AE13" s="16"/>
      <c r="AF13" s="16"/>
    </row>
    <row r="14" spans="1:32" ht="20.25" customHeight="1" x14ac:dyDescent="0.25">
      <c r="A14" s="76"/>
      <c r="B14" s="196" t="s">
        <v>161</v>
      </c>
      <c r="C14" s="196"/>
      <c r="D14" s="196"/>
      <c r="E14" s="196"/>
      <c r="F14" s="77">
        <v>0</v>
      </c>
      <c r="G14" s="91"/>
      <c r="H14" s="13"/>
      <c r="I14" s="117"/>
      <c r="J14" s="117"/>
      <c r="K14" s="117"/>
      <c r="L14" s="117"/>
      <c r="M14" s="117"/>
      <c r="N14" s="15"/>
      <c r="O14" s="15"/>
      <c r="P14" s="117"/>
      <c r="Q14" s="117"/>
      <c r="R14" s="117"/>
      <c r="S14" s="16"/>
      <c r="T14" s="16"/>
      <c r="U14" s="16"/>
      <c r="V14" s="16"/>
      <c r="W14" s="16"/>
      <c r="X14" s="16"/>
      <c r="Y14" s="16"/>
      <c r="Z14" s="16"/>
      <c r="AA14" s="16"/>
      <c r="AB14" s="16"/>
      <c r="AC14" s="16"/>
      <c r="AD14" s="16"/>
      <c r="AE14" s="16"/>
      <c r="AF14" s="16"/>
    </row>
    <row r="15" spans="1:32" ht="19.5" customHeight="1" thickBot="1" x14ac:dyDescent="0.3">
      <c r="A15" s="78"/>
      <c r="B15" s="197" t="s">
        <v>162</v>
      </c>
      <c r="C15" s="197"/>
      <c r="D15" s="197"/>
      <c r="E15" s="197"/>
      <c r="F15" s="198"/>
      <c r="G15" s="91"/>
      <c r="H15" s="13"/>
      <c r="I15" s="117"/>
      <c r="J15" s="117"/>
      <c r="K15" s="117"/>
      <c r="L15" s="117"/>
      <c r="M15" s="117"/>
      <c r="N15" s="15"/>
      <c r="O15" s="15"/>
      <c r="P15" s="117"/>
      <c r="Q15" s="117"/>
      <c r="R15" s="117"/>
      <c r="S15" s="16"/>
      <c r="T15" s="16"/>
      <c r="U15" s="16"/>
      <c r="V15" s="16"/>
      <c r="W15" s="16"/>
      <c r="X15" s="16"/>
      <c r="Y15" s="16"/>
      <c r="Z15" s="16"/>
      <c r="AA15" s="16"/>
      <c r="AB15" s="16"/>
      <c r="AC15" s="16"/>
      <c r="AD15" s="16"/>
      <c r="AE15" s="16"/>
      <c r="AF15" s="16"/>
    </row>
    <row r="16" spans="1:32" ht="26.25" thickBot="1" x14ac:dyDescent="0.3">
      <c r="A16" s="17" t="s">
        <v>168</v>
      </c>
      <c r="B16" s="18" t="s">
        <v>167</v>
      </c>
      <c r="C16" s="18" t="s">
        <v>166</v>
      </c>
      <c r="D16" s="18" t="s">
        <v>163</v>
      </c>
      <c r="E16" s="18" t="s">
        <v>164</v>
      </c>
      <c r="F16" s="19" t="s">
        <v>165</v>
      </c>
      <c r="G16" s="91"/>
      <c r="H16" s="13"/>
      <c r="I16" s="117"/>
      <c r="J16" s="117"/>
      <c r="K16" s="117"/>
      <c r="L16" s="117"/>
      <c r="M16" s="117"/>
      <c r="N16" s="15"/>
      <c r="O16" s="15"/>
      <c r="P16" s="117"/>
      <c r="Q16" s="117"/>
      <c r="R16" s="117"/>
      <c r="S16" s="16"/>
      <c r="T16" s="16"/>
      <c r="U16" s="16"/>
      <c r="V16" s="16"/>
      <c r="W16" s="16"/>
      <c r="X16" s="16"/>
      <c r="Y16" s="16"/>
      <c r="Z16" s="16"/>
      <c r="AA16" s="16"/>
      <c r="AB16" s="16"/>
      <c r="AC16" s="16"/>
      <c r="AD16" s="16"/>
      <c r="AE16" s="16"/>
      <c r="AF16" s="16"/>
    </row>
    <row r="17" spans="1:32" ht="20.25" customHeight="1" thickBot="1" x14ac:dyDescent="0.3">
      <c r="A17" s="122" t="b">
        <v>0</v>
      </c>
      <c r="B17" s="123"/>
      <c r="C17" s="123"/>
      <c r="D17" s="123"/>
      <c r="E17" s="123"/>
      <c r="F17" s="124"/>
      <c r="G17" s="91"/>
      <c r="H17" s="13"/>
      <c r="I17" s="117"/>
      <c r="J17" s="117"/>
      <c r="K17" s="117"/>
      <c r="L17" s="117"/>
      <c r="M17" s="117"/>
      <c r="N17" s="15"/>
      <c r="O17" s="15"/>
      <c r="P17" s="117"/>
      <c r="Q17" s="117"/>
      <c r="R17" s="117"/>
      <c r="S17" s="16"/>
      <c r="T17" s="16"/>
      <c r="U17" s="16"/>
      <c r="V17" s="16"/>
      <c r="W17" s="16"/>
      <c r="X17" s="16"/>
      <c r="Y17" s="16"/>
      <c r="Z17" s="16"/>
      <c r="AA17" s="16"/>
      <c r="AB17" s="16"/>
      <c r="AC17" s="16"/>
      <c r="AD17" s="16"/>
      <c r="AE17" s="16"/>
      <c r="AF17" s="16"/>
    </row>
    <row r="18" spans="1:32" ht="20.25" customHeight="1" thickBot="1" x14ac:dyDescent="0.3">
      <c r="A18" s="125"/>
      <c r="B18" s="123"/>
      <c r="C18" s="123"/>
      <c r="D18" s="123"/>
      <c r="E18" s="123"/>
      <c r="F18" s="124"/>
      <c r="G18" s="91"/>
      <c r="H18" s="13"/>
      <c r="I18" s="117"/>
      <c r="J18" s="117"/>
      <c r="K18" s="117"/>
      <c r="L18" s="117"/>
      <c r="M18" s="117"/>
      <c r="N18" s="15"/>
      <c r="O18" s="15"/>
      <c r="P18" s="117"/>
      <c r="Q18" s="117"/>
      <c r="R18" s="117"/>
      <c r="S18" s="16"/>
      <c r="T18" s="16"/>
      <c r="U18" s="16"/>
      <c r="V18" s="16"/>
      <c r="W18" s="16"/>
      <c r="X18" s="16"/>
      <c r="Y18" s="16"/>
      <c r="Z18" s="16"/>
      <c r="AA18" s="16"/>
      <c r="AB18" s="16"/>
      <c r="AC18" s="16"/>
      <c r="AD18" s="16"/>
      <c r="AE18" s="16"/>
      <c r="AF18" s="16"/>
    </row>
    <row r="19" spans="1:32" ht="20.25" customHeight="1" thickBot="1" x14ac:dyDescent="0.3">
      <c r="A19" s="125"/>
      <c r="B19" s="126"/>
      <c r="C19" s="123"/>
      <c r="D19" s="123"/>
      <c r="E19" s="123"/>
      <c r="F19" s="124"/>
      <c r="G19" s="91"/>
      <c r="H19" s="13"/>
      <c r="I19" s="117"/>
      <c r="J19" s="117"/>
      <c r="K19" s="117"/>
      <c r="L19" s="117"/>
      <c r="M19" s="117"/>
      <c r="N19" s="15"/>
      <c r="O19" s="15"/>
      <c r="P19" s="117"/>
      <c r="Q19" s="117"/>
      <c r="R19" s="117"/>
      <c r="S19" s="16"/>
      <c r="T19" s="16"/>
      <c r="U19" s="16"/>
      <c r="V19" s="16"/>
      <c r="W19" s="16"/>
      <c r="X19" s="16"/>
      <c r="Y19" s="16"/>
      <c r="Z19" s="16"/>
      <c r="AA19" s="16"/>
      <c r="AB19" s="16"/>
      <c r="AC19" s="16"/>
      <c r="AD19" s="16"/>
      <c r="AE19" s="16"/>
      <c r="AF19" s="16"/>
    </row>
    <row r="20" spans="1:32" ht="18.75" customHeight="1" thickBot="1" x14ac:dyDescent="0.3">
      <c r="A20" s="125"/>
      <c r="B20" s="126"/>
      <c r="C20" s="123"/>
      <c r="D20" s="126"/>
      <c r="E20" s="123"/>
      <c r="F20" s="124"/>
      <c r="G20" s="91"/>
      <c r="H20" s="13"/>
      <c r="I20" s="117"/>
      <c r="J20" s="117"/>
      <c r="K20" s="117"/>
      <c r="L20" s="117"/>
      <c r="M20" s="117"/>
      <c r="N20" s="15"/>
      <c r="O20" s="15"/>
      <c r="P20" s="117"/>
      <c r="Q20" s="117"/>
      <c r="R20" s="117"/>
      <c r="S20" s="16"/>
      <c r="T20" s="16"/>
      <c r="U20" s="16"/>
      <c r="V20" s="16"/>
      <c r="W20" s="16"/>
      <c r="X20" s="16"/>
      <c r="Y20" s="16"/>
      <c r="Z20" s="16"/>
      <c r="AA20" s="16"/>
      <c r="AB20" s="16"/>
      <c r="AC20" s="16"/>
      <c r="AD20" s="16"/>
      <c r="AE20" s="16"/>
      <c r="AF20" s="16"/>
    </row>
    <row r="21" spans="1:32" ht="18" customHeight="1" thickBot="1" x14ac:dyDescent="0.3">
      <c r="A21" s="127"/>
      <c r="B21" s="126"/>
      <c r="C21" s="123"/>
      <c r="D21" s="126"/>
      <c r="E21" s="123"/>
      <c r="F21" s="124"/>
      <c r="G21" s="91"/>
      <c r="H21" s="13"/>
      <c r="I21" s="117"/>
      <c r="J21" s="117"/>
      <c r="K21" s="117"/>
      <c r="L21" s="117"/>
      <c r="M21" s="117"/>
      <c r="N21" s="15"/>
      <c r="O21" s="15"/>
      <c r="P21" s="117"/>
      <c r="Q21" s="117"/>
      <c r="R21" s="117"/>
      <c r="S21" s="16"/>
      <c r="T21" s="16"/>
      <c r="U21" s="16"/>
      <c r="V21" s="16"/>
      <c r="W21" s="16"/>
      <c r="X21" s="16"/>
      <c r="Y21" s="16"/>
      <c r="Z21" s="16"/>
      <c r="AA21" s="16"/>
      <c r="AB21" s="16"/>
      <c r="AC21" s="16"/>
      <c r="AD21" s="16"/>
      <c r="AE21" s="16"/>
      <c r="AF21" s="16"/>
    </row>
    <row r="22" spans="1:32" ht="17.25" customHeight="1" thickBot="1" x14ac:dyDescent="0.3">
      <c r="A22" s="127"/>
      <c r="B22" s="126"/>
      <c r="C22" s="126"/>
      <c r="D22" s="126"/>
      <c r="E22" s="123"/>
      <c r="F22" s="124"/>
      <c r="G22" s="91"/>
      <c r="H22" s="13"/>
      <c r="I22" s="117"/>
      <c r="J22" s="117"/>
      <c r="K22" s="117"/>
      <c r="L22" s="117"/>
      <c r="M22" s="117"/>
      <c r="N22" s="15"/>
      <c r="O22" s="15"/>
      <c r="P22" s="117"/>
      <c r="Q22" s="117"/>
      <c r="R22" s="117"/>
      <c r="S22" s="16"/>
      <c r="T22" s="16"/>
      <c r="U22" s="16"/>
      <c r="V22" s="16"/>
      <c r="W22" s="16"/>
      <c r="X22" s="16"/>
      <c r="Y22" s="16"/>
      <c r="Z22" s="16"/>
      <c r="AA22" s="16"/>
      <c r="AB22" s="16"/>
      <c r="AC22" s="16"/>
      <c r="AD22" s="16"/>
      <c r="AE22" s="16"/>
      <c r="AF22" s="16"/>
    </row>
    <row r="23" spans="1:32" ht="16.5" thickBot="1" x14ac:dyDescent="0.3">
      <c r="A23" s="79"/>
      <c r="B23" s="199" t="s">
        <v>169</v>
      </c>
      <c r="C23" s="199"/>
      <c r="D23" s="199"/>
      <c r="E23" s="199"/>
      <c r="F23" s="200"/>
      <c r="G23" s="117"/>
      <c r="H23" s="13"/>
      <c r="I23" s="117"/>
      <c r="J23" s="117"/>
      <c r="K23" s="117"/>
      <c r="L23" s="117"/>
      <c r="M23" s="117"/>
      <c r="N23" s="15"/>
      <c r="O23" s="15"/>
      <c r="P23" s="117"/>
      <c r="Q23" s="117"/>
      <c r="R23" s="117"/>
      <c r="S23" s="16"/>
      <c r="T23" s="16"/>
      <c r="U23" s="16"/>
      <c r="V23" s="16"/>
      <c r="W23" s="16"/>
      <c r="X23" s="16"/>
      <c r="Y23" s="16"/>
      <c r="Z23" s="16"/>
      <c r="AA23" s="16"/>
      <c r="AB23" s="16"/>
      <c r="AC23" s="16"/>
      <c r="AD23" s="16"/>
      <c r="AE23" s="16"/>
      <c r="AF23" s="16"/>
    </row>
    <row r="24" spans="1:32" ht="138.75" customHeight="1" thickTop="1" thickBot="1" x14ac:dyDescent="0.3">
      <c r="A24" s="111" t="s">
        <v>196</v>
      </c>
      <c r="B24" s="201"/>
      <c r="C24" s="201"/>
      <c r="D24" s="201"/>
      <c r="E24" s="201"/>
      <c r="F24" s="202"/>
      <c r="G24" s="91"/>
      <c r="H24" s="1"/>
      <c r="I24" s="116"/>
      <c r="J24" s="116"/>
      <c r="K24" s="116"/>
      <c r="L24" s="116"/>
      <c r="M24" s="116"/>
      <c r="N24" s="3"/>
      <c r="O24" s="3"/>
      <c r="P24" s="116"/>
      <c r="Q24" s="116"/>
      <c r="R24" s="116"/>
      <c r="S24" s="4"/>
      <c r="T24" s="4"/>
      <c r="U24" s="4"/>
      <c r="V24" s="4"/>
      <c r="W24" s="4"/>
      <c r="X24" s="4"/>
      <c r="Y24" s="4"/>
      <c r="Z24" s="4"/>
      <c r="AA24" s="4"/>
      <c r="AB24" s="4"/>
      <c r="AC24" s="4"/>
      <c r="AD24" s="4"/>
      <c r="AE24" s="4"/>
      <c r="AF24" s="4"/>
    </row>
    <row r="25" spans="1:32" ht="29.25" thickTop="1" thickBot="1" x14ac:dyDescent="0.3">
      <c r="A25" s="203" t="s">
        <v>72</v>
      </c>
      <c r="B25" s="204"/>
      <c r="C25" s="204"/>
      <c r="D25" s="204"/>
      <c r="E25" s="204"/>
      <c r="F25" s="205"/>
      <c r="G25" s="91"/>
      <c r="H25" s="1"/>
      <c r="I25" s="3"/>
      <c r="J25" s="3"/>
      <c r="K25" s="3"/>
      <c r="L25" s="3"/>
      <c r="M25" s="3"/>
      <c r="N25" s="3"/>
      <c r="O25" s="3"/>
      <c r="P25" s="3"/>
      <c r="Q25" s="3"/>
      <c r="R25" s="3"/>
      <c r="S25" s="116"/>
      <c r="T25" s="116"/>
      <c r="U25" s="116"/>
      <c r="V25" s="116"/>
      <c r="W25" s="116"/>
      <c r="X25" s="116"/>
      <c r="Y25" s="116"/>
      <c r="Z25" s="116"/>
      <c r="AA25" s="116"/>
      <c r="AB25" s="116"/>
      <c r="AC25" s="116"/>
      <c r="AD25" s="116"/>
      <c r="AE25" s="116"/>
      <c r="AF25" s="4"/>
    </row>
    <row r="26" spans="1:32" ht="21" customHeight="1" thickTop="1" thickBot="1" x14ac:dyDescent="0.3">
      <c r="A26" s="20"/>
      <c r="B26" s="169" t="s">
        <v>71</v>
      </c>
      <c r="C26" s="170"/>
      <c r="D26" s="170"/>
      <c r="E26" s="170"/>
      <c r="F26" s="21"/>
      <c r="G26" s="91"/>
      <c r="H26" s="13" t="b">
        <v>0</v>
      </c>
      <c r="I26" s="117"/>
      <c r="J26" s="117"/>
      <c r="K26" s="117"/>
      <c r="L26" s="117"/>
      <c r="M26" s="117"/>
      <c r="N26" s="15"/>
      <c r="O26" s="15"/>
      <c r="P26" s="117"/>
      <c r="Q26" s="117"/>
      <c r="R26" s="117"/>
      <c r="S26" s="16"/>
      <c r="T26" s="16"/>
      <c r="U26" s="16"/>
      <c r="V26" s="16"/>
      <c r="W26" s="16"/>
      <c r="X26" s="16"/>
      <c r="Y26" s="16"/>
      <c r="Z26" s="16"/>
      <c r="AA26" s="16"/>
      <c r="AB26" s="16"/>
      <c r="AC26" s="16"/>
      <c r="AD26" s="16"/>
      <c r="AE26" s="16"/>
      <c r="AF26" s="16"/>
    </row>
    <row r="27" spans="1:32" ht="21" customHeight="1" thickTop="1" thickBot="1" x14ac:dyDescent="0.3">
      <c r="A27" s="20"/>
      <c r="B27" s="169" t="s">
        <v>73</v>
      </c>
      <c r="C27" s="170"/>
      <c r="D27" s="170"/>
      <c r="E27" s="170"/>
      <c r="F27" s="21"/>
      <c r="G27" s="91"/>
      <c r="H27" s="13" t="b">
        <v>0</v>
      </c>
      <c r="I27" s="117"/>
      <c r="J27" s="117"/>
      <c r="K27" s="117"/>
      <c r="L27" s="117"/>
      <c r="M27" s="117"/>
      <c r="N27" s="15"/>
      <c r="O27" s="15"/>
      <c r="P27" s="117"/>
      <c r="Q27" s="117"/>
      <c r="R27" s="117"/>
      <c r="S27" s="16"/>
      <c r="T27" s="16"/>
      <c r="U27" s="16"/>
      <c r="V27" s="16"/>
      <c r="W27" s="16"/>
      <c r="X27" s="16"/>
      <c r="Y27" s="16"/>
      <c r="Z27" s="16"/>
      <c r="AA27" s="16"/>
      <c r="AB27" s="16"/>
      <c r="AC27" s="16"/>
      <c r="AD27" s="16"/>
      <c r="AE27" s="16"/>
      <c r="AF27" s="16"/>
    </row>
    <row r="28" spans="1:32" ht="18" customHeight="1" thickTop="1" thickBot="1" x14ac:dyDescent="0.3">
      <c r="A28" s="20"/>
      <c r="B28" s="169" t="s">
        <v>237</v>
      </c>
      <c r="C28" s="169"/>
      <c r="D28" s="169"/>
      <c r="E28" s="169"/>
      <c r="F28" s="21"/>
      <c r="G28" s="91"/>
      <c r="H28" s="13" t="b">
        <f>Woordrapport!H4</f>
        <v>0</v>
      </c>
      <c r="I28" s="117"/>
      <c r="J28" s="117"/>
      <c r="K28" s="117"/>
      <c r="L28" s="117"/>
      <c r="M28" s="117"/>
      <c r="N28" s="15"/>
      <c r="O28" s="15"/>
      <c r="P28" s="117"/>
      <c r="Q28" s="117"/>
      <c r="R28" s="117"/>
      <c r="S28" s="16"/>
      <c r="T28" s="16"/>
      <c r="U28" s="16"/>
      <c r="V28" s="16"/>
      <c r="W28" s="16"/>
      <c r="X28" s="16"/>
      <c r="Y28" s="16"/>
      <c r="Z28" s="16"/>
      <c r="AA28" s="16"/>
      <c r="AB28" s="16"/>
      <c r="AC28" s="16"/>
      <c r="AD28" s="16"/>
      <c r="AE28" s="16"/>
      <c r="AF28" s="16"/>
    </row>
    <row r="29" spans="1:32" ht="19.5" customHeight="1" thickTop="1" thickBot="1" x14ac:dyDescent="0.3">
      <c r="A29" s="20"/>
      <c r="B29" s="169" t="s">
        <v>190</v>
      </c>
      <c r="C29" s="169"/>
      <c r="D29" s="169"/>
      <c r="E29" s="169"/>
      <c r="F29" s="21"/>
      <c r="G29" s="91"/>
      <c r="H29" s="13" t="b">
        <f>IF(AND(Rubric!G6:'Rubric'!G15,Rubric!G18:'Rubric'!G26,Rubric!G29:'Rubric'!G35),TRUE,FALSE)</f>
        <v>0</v>
      </c>
      <c r="I29" s="117"/>
      <c r="J29" s="117"/>
      <c r="K29" s="117"/>
      <c r="L29" s="117"/>
      <c r="M29" s="117"/>
      <c r="N29" s="15"/>
      <c r="O29" s="15"/>
      <c r="P29" s="117"/>
      <c r="Q29" s="117"/>
      <c r="R29" s="117"/>
      <c r="S29" s="16"/>
      <c r="T29" s="16"/>
      <c r="U29" s="16"/>
      <c r="V29" s="16"/>
      <c r="W29" s="16"/>
      <c r="X29" s="16"/>
      <c r="Y29" s="16"/>
      <c r="Z29" s="16"/>
      <c r="AA29" s="16"/>
      <c r="AB29" s="16"/>
      <c r="AC29" s="16"/>
      <c r="AD29" s="16"/>
      <c r="AE29" s="16"/>
      <c r="AF29" s="16"/>
    </row>
    <row r="30" spans="1:32" ht="12.75" customHeight="1" thickTop="1" thickBot="1" x14ac:dyDescent="0.3">
      <c r="A30" s="153"/>
      <c r="B30" s="154"/>
      <c r="C30" s="154"/>
      <c r="D30" s="154"/>
      <c r="E30" s="154"/>
      <c r="F30" s="154"/>
      <c r="G30" s="91"/>
      <c r="H30" s="146"/>
      <c r="I30" s="151"/>
      <c r="J30" s="151"/>
      <c r="K30" s="151"/>
      <c r="L30" s="151"/>
      <c r="M30" s="151"/>
      <c r="N30" s="15"/>
      <c r="O30" s="15"/>
      <c r="P30" s="151"/>
      <c r="Q30" s="151"/>
      <c r="R30" s="151"/>
      <c r="S30" s="16"/>
      <c r="T30" s="16"/>
      <c r="U30" s="16"/>
      <c r="V30" s="16"/>
      <c r="W30" s="16"/>
      <c r="X30" s="16"/>
      <c r="Y30" s="16"/>
      <c r="Z30" s="16"/>
      <c r="AA30" s="16"/>
      <c r="AB30" s="16"/>
      <c r="AC30" s="16"/>
      <c r="AD30" s="16"/>
      <c r="AE30" s="16"/>
      <c r="AF30" s="16"/>
    </row>
    <row r="31" spans="1:32" ht="36.75" customHeight="1" thickTop="1" thickBot="1" x14ac:dyDescent="0.3">
      <c r="A31" s="171" t="s">
        <v>191</v>
      </c>
      <c r="B31" s="206"/>
      <c r="C31" s="206"/>
      <c r="D31" s="206"/>
      <c r="E31" s="206"/>
      <c r="F31" s="207"/>
      <c r="G31" s="91"/>
      <c r="H31" s="1"/>
      <c r="I31" s="116"/>
      <c r="J31" s="116"/>
      <c r="K31" s="116"/>
      <c r="L31" s="116"/>
      <c r="M31" s="116"/>
      <c r="N31" s="3"/>
      <c r="O31" s="3"/>
      <c r="P31" s="116"/>
      <c r="Q31" s="116"/>
      <c r="R31" s="116"/>
      <c r="S31" s="4"/>
      <c r="T31" s="4"/>
      <c r="U31" s="4"/>
      <c r="V31" s="4"/>
      <c r="W31" s="4"/>
      <c r="X31" s="4"/>
      <c r="Y31" s="4"/>
      <c r="Z31" s="4"/>
      <c r="AA31" s="4"/>
      <c r="AB31" s="4"/>
      <c r="AC31" s="4"/>
      <c r="AD31" s="4"/>
      <c r="AE31" s="4"/>
      <c r="AF31" s="4"/>
    </row>
    <row r="32" spans="1:32" ht="21" customHeight="1" thickTop="1" thickBot="1" x14ac:dyDescent="0.3">
      <c r="A32" s="20"/>
      <c r="B32" s="169" t="s">
        <v>171</v>
      </c>
      <c r="C32" s="170"/>
      <c r="D32" s="170"/>
      <c r="E32" s="170"/>
      <c r="F32" s="21"/>
      <c r="G32" s="91"/>
      <c r="H32" s="146" t="b">
        <v>0</v>
      </c>
      <c r="I32" s="117"/>
      <c r="J32" s="117"/>
      <c r="K32" s="117"/>
      <c r="L32" s="117"/>
      <c r="M32" s="117"/>
      <c r="N32" s="15"/>
      <c r="O32" s="15"/>
      <c r="P32" s="117"/>
      <c r="Q32" s="117"/>
      <c r="R32" s="117"/>
      <c r="S32" s="16"/>
      <c r="T32" s="16"/>
      <c r="U32" s="16"/>
      <c r="V32" s="16"/>
      <c r="W32" s="16"/>
      <c r="X32" s="16"/>
      <c r="Y32" s="16"/>
      <c r="Z32" s="16"/>
      <c r="AA32" s="16"/>
      <c r="AB32" s="16"/>
      <c r="AC32" s="16"/>
      <c r="AD32" s="16"/>
      <c r="AE32" s="16"/>
      <c r="AF32" s="16"/>
    </row>
    <row r="33" spans="1:32" ht="21" customHeight="1" thickTop="1" thickBot="1" x14ac:dyDescent="0.3">
      <c r="A33" s="20"/>
      <c r="B33" s="169" t="s">
        <v>192</v>
      </c>
      <c r="C33" s="170"/>
      <c r="D33" s="170"/>
      <c r="E33" s="170"/>
      <c r="F33" s="21"/>
      <c r="G33" s="91"/>
      <c r="H33" s="146" t="b">
        <v>0</v>
      </c>
      <c r="I33" s="117"/>
      <c r="J33" s="117"/>
      <c r="K33" s="117"/>
      <c r="L33" s="117"/>
      <c r="M33" s="117"/>
      <c r="N33" s="15"/>
      <c r="O33" s="15"/>
      <c r="P33" s="117"/>
      <c r="Q33" s="117"/>
      <c r="R33" s="117"/>
      <c r="S33" s="16"/>
      <c r="T33" s="16"/>
      <c r="U33" s="16"/>
      <c r="V33" s="16"/>
      <c r="W33" s="16"/>
      <c r="X33" s="16"/>
      <c r="Y33" s="16"/>
      <c r="Z33" s="16"/>
      <c r="AA33" s="16"/>
      <c r="AB33" s="16"/>
      <c r="AC33" s="16"/>
      <c r="AD33" s="16"/>
      <c r="AE33" s="16"/>
      <c r="AF33" s="16"/>
    </row>
    <row r="34" spans="1:32" ht="21" customHeight="1" thickTop="1" thickBot="1" x14ac:dyDescent="0.3">
      <c r="A34" s="20"/>
      <c r="B34" s="169" t="s">
        <v>263</v>
      </c>
      <c r="C34" s="170"/>
      <c r="D34" s="170"/>
      <c r="E34" s="170"/>
      <c r="F34" s="21"/>
      <c r="G34" s="91"/>
      <c r="H34" s="146" t="b">
        <f>VerlengdeStage!H4</f>
        <v>0</v>
      </c>
      <c r="I34" s="148"/>
      <c r="J34" s="148"/>
      <c r="K34" s="148"/>
      <c r="L34" s="148"/>
      <c r="M34" s="148"/>
      <c r="N34" s="15"/>
      <c r="O34" s="15"/>
      <c r="P34" s="148"/>
      <c r="Q34" s="148"/>
      <c r="R34" s="148"/>
      <c r="S34" s="16"/>
      <c r="T34" s="16"/>
      <c r="U34" s="16"/>
      <c r="V34" s="16"/>
      <c r="W34" s="16"/>
      <c r="X34" s="16"/>
      <c r="Y34" s="16"/>
      <c r="Z34" s="16"/>
      <c r="AA34" s="16"/>
      <c r="AB34" s="16"/>
      <c r="AC34" s="16"/>
      <c r="AD34" s="16"/>
      <c r="AE34" s="16"/>
      <c r="AF34" s="16"/>
    </row>
    <row r="35" spans="1:32" ht="12.75" customHeight="1" thickTop="1" thickBot="1" x14ac:dyDescent="0.3">
      <c r="A35" s="153"/>
      <c r="B35" s="154"/>
      <c r="C35" s="154"/>
      <c r="D35" s="154"/>
      <c r="E35" s="154"/>
      <c r="F35" s="154"/>
      <c r="G35" s="91"/>
      <c r="H35" s="146"/>
      <c r="I35" s="151"/>
      <c r="J35" s="151"/>
      <c r="K35" s="151"/>
      <c r="L35" s="151"/>
      <c r="M35" s="151"/>
      <c r="N35" s="15"/>
      <c r="O35" s="15"/>
      <c r="P35" s="151"/>
      <c r="Q35" s="151"/>
      <c r="R35" s="151"/>
      <c r="S35" s="16"/>
      <c r="T35" s="16"/>
      <c r="U35" s="16"/>
      <c r="V35" s="16"/>
      <c r="W35" s="16"/>
      <c r="X35" s="16"/>
      <c r="Y35" s="16"/>
      <c r="Z35" s="16"/>
      <c r="AA35" s="16"/>
      <c r="AB35" s="16"/>
      <c r="AC35" s="16"/>
      <c r="AD35" s="16"/>
      <c r="AE35" s="16"/>
      <c r="AF35" s="16"/>
    </row>
    <row r="36" spans="1:32" ht="56.25" customHeight="1" thickTop="1" thickBot="1" x14ac:dyDescent="0.3">
      <c r="A36" s="171" t="str">
        <f>CONCATENATE("Eindscore ",C12)</f>
        <v>Eindscore Tussenevaluatie</v>
      </c>
      <c r="B36" s="172"/>
      <c r="C36" s="172"/>
      <c r="D36" s="172"/>
      <c r="E36" s="172"/>
      <c r="F36" s="173"/>
      <c r="G36" s="92"/>
      <c r="H36" s="1"/>
      <c r="I36" s="3"/>
      <c r="J36" s="3"/>
      <c r="K36" s="3"/>
      <c r="L36" s="3"/>
      <c r="M36" s="3"/>
      <c r="N36" s="3"/>
      <c r="O36" s="3"/>
      <c r="P36" s="3"/>
      <c r="Q36" s="3"/>
      <c r="R36" s="3"/>
      <c r="S36" s="116"/>
      <c r="T36" s="116"/>
      <c r="U36" s="116"/>
      <c r="V36" s="116"/>
      <c r="W36" s="116"/>
      <c r="X36" s="116"/>
      <c r="Y36" s="116"/>
      <c r="Z36" s="116"/>
      <c r="AA36" s="116"/>
      <c r="AB36" s="116"/>
      <c r="AC36" s="116"/>
      <c r="AD36" s="116"/>
      <c r="AE36" s="116"/>
      <c r="AF36" s="4"/>
    </row>
    <row r="37" spans="1:32" ht="16.5" thickTop="1" thickBot="1" x14ac:dyDescent="0.3">
      <c r="A37" s="144"/>
      <c r="B37" s="174" t="s">
        <v>6</v>
      </c>
      <c r="C37" s="175"/>
      <c r="D37" s="176">
        <f>C5</f>
        <v>0</v>
      </c>
      <c r="E37" s="177"/>
      <c r="F37" s="177"/>
      <c r="G37" s="92"/>
      <c r="H37" s="1"/>
      <c r="I37" s="3"/>
      <c r="J37" s="3"/>
      <c r="K37" s="3"/>
      <c r="L37" s="3"/>
      <c r="M37" s="3"/>
      <c r="N37" s="3"/>
      <c r="O37" s="3"/>
      <c r="P37" s="3"/>
      <c r="Q37" s="3"/>
      <c r="R37" s="3"/>
      <c r="S37" s="116"/>
      <c r="T37" s="116"/>
      <c r="U37" s="116"/>
      <c r="V37" s="116"/>
      <c r="W37" s="116"/>
      <c r="X37" s="116"/>
      <c r="Y37" s="116"/>
      <c r="Z37" s="116"/>
      <c r="AA37" s="116"/>
      <c r="AB37" s="116"/>
      <c r="AC37" s="116"/>
      <c r="AD37" s="116"/>
      <c r="AE37" s="116"/>
      <c r="AF37" s="4"/>
    </row>
    <row r="38" spans="1:32" ht="19.5" thickTop="1" thickBot="1" x14ac:dyDescent="0.3">
      <c r="A38" s="142"/>
      <c r="B38" s="178" t="s">
        <v>65</v>
      </c>
      <c r="C38" s="179"/>
      <c r="D38" s="145" t="b">
        <f>IF(AND(H26:H29),TRUE,FALSE)</f>
        <v>0</v>
      </c>
      <c r="E38" s="45"/>
      <c r="F38" s="46"/>
      <c r="G38" s="92"/>
      <c r="H38" s="1"/>
      <c r="I38" s="139"/>
      <c r="J38" s="116"/>
      <c r="K38" s="116"/>
      <c r="L38" s="116"/>
      <c r="M38" s="116"/>
      <c r="N38" s="3"/>
      <c r="O38" s="3"/>
      <c r="P38" s="116"/>
      <c r="Q38" s="116"/>
      <c r="R38" s="116"/>
      <c r="S38" s="4"/>
      <c r="T38" s="4"/>
      <c r="U38" s="4"/>
      <c r="V38" s="4"/>
      <c r="W38" s="4"/>
      <c r="X38" s="4"/>
      <c r="Y38" s="4"/>
      <c r="Z38" s="4"/>
      <c r="AA38" s="4"/>
      <c r="AB38" s="4"/>
      <c r="AC38" s="4"/>
      <c r="AD38" s="4"/>
      <c r="AE38" s="4"/>
      <c r="AF38" s="4"/>
    </row>
    <row r="39" spans="1:32" ht="19.5" thickTop="1" thickBot="1" x14ac:dyDescent="0.3">
      <c r="A39" s="143"/>
      <c r="B39" s="180" t="s">
        <v>62</v>
      </c>
      <c r="C39" s="181"/>
      <c r="D39" s="44">
        <f>IF(NOT(AND(H26:H28)),0,IF(H12=1,Rubric!A42,IF(H12=2,Rubric!A55,Rubric!A68)))</f>
        <v>0</v>
      </c>
      <c r="E39" s="47"/>
      <c r="F39" s="48"/>
      <c r="G39" s="92"/>
      <c r="H39" s="1"/>
      <c r="I39" s="116"/>
      <c r="J39" s="116"/>
      <c r="K39" s="116"/>
      <c r="L39" s="116"/>
      <c r="M39" s="116"/>
      <c r="N39" s="3"/>
      <c r="O39" s="3"/>
      <c r="P39" s="116"/>
      <c r="Q39" s="116"/>
      <c r="R39" s="116"/>
      <c r="S39" s="4"/>
      <c r="T39" s="4"/>
      <c r="U39" s="4"/>
      <c r="V39" s="4"/>
      <c r="W39" s="4"/>
      <c r="X39" s="4"/>
      <c r="Y39" s="4"/>
      <c r="Z39" s="4"/>
      <c r="AA39" s="4"/>
      <c r="AB39" s="4"/>
      <c r="AC39" s="4"/>
      <c r="AD39" s="4"/>
      <c r="AE39" s="4"/>
      <c r="AF39" s="4"/>
    </row>
    <row r="40" spans="1:32" ht="19.5" thickTop="1" thickBot="1" x14ac:dyDescent="0.3">
      <c r="A40" s="144"/>
      <c r="B40" s="174" t="s">
        <v>63</v>
      </c>
      <c r="C40" s="175"/>
      <c r="D40" s="44">
        <f>IF(NOT(AND(H26:H28)),0,IF(H12=1,Rubric!A81,IF(H12=2,Rubric!A94,Rubric!A107)))</f>
        <v>0</v>
      </c>
      <c r="E40" s="49"/>
      <c r="F40" s="50"/>
      <c r="G40" s="92"/>
      <c r="H40" s="1"/>
      <c r="I40" s="116"/>
      <c r="J40" s="116"/>
      <c r="K40" s="116"/>
      <c r="L40" s="116"/>
      <c r="M40" s="116"/>
      <c r="N40" s="3"/>
      <c r="O40" s="3"/>
      <c r="P40" s="116"/>
      <c r="Q40" s="116"/>
      <c r="R40" s="116"/>
      <c r="S40" s="4"/>
      <c r="T40" s="4"/>
      <c r="U40" s="4"/>
      <c r="V40" s="4"/>
      <c r="W40" s="4"/>
      <c r="X40" s="4"/>
      <c r="Y40" s="4"/>
      <c r="Z40" s="4"/>
      <c r="AA40" s="4"/>
      <c r="AB40" s="4"/>
      <c r="AC40" s="4"/>
      <c r="AD40" s="4"/>
      <c r="AE40" s="4"/>
      <c r="AF40" s="4"/>
    </row>
    <row r="41" spans="1:32" ht="19.5" thickTop="1" thickBot="1" x14ac:dyDescent="0.3">
      <c r="A41" s="144"/>
      <c r="B41" s="174" t="s">
        <v>64</v>
      </c>
      <c r="C41" s="175"/>
      <c r="D41" s="44">
        <f>IF(NOT(AND(H26:H28)),0,IF(H12=1,Rubric!A120,IF(H12=2,Rubric!A133,Rubric!A146)))</f>
        <v>0</v>
      </c>
      <c r="E41" s="49"/>
      <c r="F41" s="50"/>
      <c r="G41" s="92"/>
      <c r="H41" s="1"/>
      <c r="I41" s="116"/>
      <c r="J41" s="116"/>
      <c r="K41" s="116"/>
      <c r="L41" s="116"/>
      <c r="M41" s="116"/>
      <c r="N41" s="3"/>
      <c r="O41" s="3"/>
      <c r="P41" s="116"/>
      <c r="Q41" s="116"/>
      <c r="R41" s="116"/>
      <c r="S41" s="4"/>
      <c r="T41" s="4"/>
      <c r="U41" s="4"/>
      <c r="V41" s="4"/>
      <c r="W41" s="4"/>
      <c r="X41" s="4"/>
      <c r="Y41" s="4"/>
      <c r="Z41" s="4"/>
      <c r="AA41" s="4"/>
      <c r="AB41" s="4"/>
      <c r="AC41" s="4"/>
      <c r="AD41" s="4"/>
      <c r="AE41" s="4"/>
      <c r="AF41" s="4"/>
    </row>
    <row r="42" spans="1:32" ht="18.75" thickBot="1" x14ac:dyDescent="0.3">
      <c r="A42" s="144"/>
      <c r="B42" s="174" t="s">
        <v>5</v>
      </c>
      <c r="C42" s="175"/>
      <c r="D42" s="51">
        <f>SUM(D39:D41)</f>
        <v>0</v>
      </c>
      <c r="E42" s="49"/>
      <c r="F42" s="50"/>
      <c r="G42" s="92"/>
      <c r="H42" s="141" t="s">
        <v>257</v>
      </c>
      <c r="I42" s="141" t="s">
        <v>258</v>
      </c>
      <c r="J42" s="141" t="s">
        <v>259</v>
      </c>
      <c r="K42" s="141" t="s">
        <v>260</v>
      </c>
      <c r="L42" s="141" t="s">
        <v>261</v>
      </c>
      <c r="M42" s="141" t="s">
        <v>262</v>
      </c>
      <c r="N42" s="3"/>
      <c r="O42" s="3"/>
      <c r="P42" s="116"/>
      <c r="Q42" s="116"/>
      <c r="R42" s="116"/>
      <c r="S42" s="4"/>
      <c r="T42" s="4"/>
      <c r="U42" s="4"/>
      <c r="V42" s="4"/>
      <c r="W42" s="4"/>
      <c r="X42" s="4"/>
      <c r="Y42" s="4"/>
      <c r="Z42" s="4"/>
      <c r="AA42" s="4"/>
      <c r="AB42" s="4"/>
      <c r="AC42" s="4"/>
      <c r="AD42" s="4"/>
      <c r="AE42" s="4"/>
      <c r="AF42" s="4"/>
    </row>
    <row r="43" spans="1:32" ht="55.5" customHeight="1" thickBot="1" x14ac:dyDescent="0.3">
      <c r="A43" s="52"/>
      <c r="B43" s="182" t="s">
        <v>4</v>
      </c>
      <c r="C43" s="183"/>
      <c r="D43" s="184"/>
      <c r="E43" s="53"/>
      <c r="F43" s="54">
        <f>IF(NOT(AND(G2:I2)),0,IF(OR(K43,J43&lt;5.51),5,IF(I43&gt;=10,10,I43)))</f>
        <v>0</v>
      </c>
      <c r="G43" s="92"/>
      <c r="H43" s="1">
        <v>2</v>
      </c>
      <c r="I43" s="116">
        <f>L43+M43</f>
        <v>0</v>
      </c>
      <c r="J43" s="116">
        <f>ROUND(D42/3,2)</f>
        <v>0</v>
      </c>
      <c r="K43" s="116" t="b">
        <f>IF(OR(NOT(AND(H26:H29)),J43&lt;5.51,NOT(K2)),TRUE,FALSE)</f>
        <v>1</v>
      </c>
      <c r="L43" s="116">
        <f>MROUND(J43,0.5)</f>
        <v>0</v>
      </c>
      <c r="M43" s="116">
        <f>IF(K43,0,IF(AND(L43=6,H43=1),0,0.5*(H43-2)))</f>
        <v>0</v>
      </c>
      <c r="N43" s="3"/>
      <c r="O43" s="3"/>
      <c r="P43" s="116"/>
      <c r="Q43" s="116"/>
      <c r="R43" s="116"/>
      <c r="S43" s="4"/>
      <c r="T43" s="4"/>
      <c r="U43" s="4"/>
      <c r="V43" s="4"/>
      <c r="W43" s="4"/>
      <c r="X43" s="4"/>
      <c r="Y43" s="4"/>
      <c r="Z43" s="4"/>
      <c r="AA43" s="4"/>
      <c r="AB43" s="4"/>
      <c r="AC43" s="4"/>
      <c r="AD43" s="4"/>
      <c r="AE43" s="4"/>
      <c r="AF43" s="4"/>
    </row>
    <row r="44" spans="1:32" ht="29.25" thickTop="1" thickBot="1" x14ac:dyDescent="0.3">
      <c r="A44" s="185" t="s">
        <v>195</v>
      </c>
      <c r="B44" s="186"/>
      <c r="C44" s="186"/>
      <c r="D44" s="186"/>
      <c r="E44" s="186"/>
      <c r="F44" s="187"/>
      <c r="G44" s="92"/>
      <c r="H44" s="1" t="s">
        <v>3</v>
      </c>
      <c r="J44" s="138"/>
      <c r="K44" s="116"/>
      <c r="L44" s="116"/>
      <c r="M44" s="116"/>
      <c r="N44" s="3"/>
      <c r="O44" s="3"/>
      <c r="P44" s="116"/>
      <c r="Q44" s="116"/>
      <c r="R44" s="116"/>
      <c r="S44" s="4"/>
      <c r="T44" s="4"/>
      <c r="U44" s="4"/>
      <c r="V44" s="4"/>
      <c r="W44" s="4"/>
      <c r="X44" s="4"/>
      <c r="Y44" s="4"/>
      <c r="Z44" s="4"/>
      <c r="AA44" s="4"/>
      <c r="AB44" s="4"/>
      <c r="AC44" s="4"/>
      <c r="AD44" s="4"/>
      <c r="AE44" s="4"/>
      <c r="AF44" s="4"/>
    </row>
    <row r="45" spans="1:32" ht="23.25" hidden="1" customHeight="1" thickTop="1" thickBot="1" x14ac:dyDescent="0.3">
      <c r="A45" s="101"/>
      <c r="B45" s="167" t="s">
        <v>193</v>
      </c>
      <c r="C45" s="168"/>
      <c r="D45" s="102"/>
      <c r="E45" s="103" t="s">
        <v>194</v>
      </c>
      <c r="F45" s="118" t="str">
        <f>CONCATENATE(Rubric!H16,"0",Rubric!H27,"0",Woordrapport!H5,ROUND((LEN(C5)*LEN(C7)+3)/2,0))</f>
        <v>00002</v>
      </c>
      <c r="G45" s="92"/>
      <c r="H45" s="1"/>
      <c r="J45" s="116"/>
      <c r="K45" s="138"/>
      <c r="L45" s="116"/>
      <c r="M45" s="116"/>
      <c r="N45" s="3"/>
      <c r="O45" s="3"/>
      <c r="P45" s="116"/>
      <c r="Q45" s="116"/>
      <c r="R45" s="116"/>
      <c r="S45" s="4"/>
      <c r="T45" s="4"/>
      <c r="U45" s="4"/>
      <c r="V45" s="4"/>
      <c r="W45" s="4"/>
      <c r="X45" s="4"/>
      <c r="Y45" s="4"/>
      <c r="Z45" s="4"/>
      <c r="AA45" s="4"/>
      <c r="AB45" s="4"/>
      <c r="AC45" s="4"/>
      <c r="AD45" s="4"/>
      <c r="AE45" s="4"/>
      <c r="AF45" s="4"/>
    </row>
    <row r="46" spans="1:32" ht="42" hidden="1" customHeight="1" thickBot="1" x14ac:dyDescent="0.3">
      <c r="A46" s="100"/>
      <c r="B46" s="159">
        <f>C7</f>
        <v>0</v>
      </c>
      <c r="C46" s="160"/>
      <c r="D46" s="160"/>
      <c r="E46" s="161"/>
      <c r="F46" s="162"/>
      <c r="G46" s="92"/>
      <c r="H46" s="1"/>
      <c r="I46" s="116"/>
      <c r="J46" s="116"/>
      <c r="K46" s="116"/>
      <c r="L46" s="116"/>
      <c r="M46" s="116"/>
      <c r="N46" s="3"/>
      <c r="O46" s="3"/>
      <c r="P46" s="116"/>
      <c r="Q46" s="116"/>
      <c r="R46" s="116"/>
      <c r="S46" s="4"/>
      <c r="T46" s="4"/>
      <c r="U46" s="4"/>
      <c r="V46" s="4"/>
      <c r="W46" s="4"/>
      <c r="X46" s="4"/>
      <c r="Y46" s="4"/>
      <c r="Z46" s="4"/>
      <c r="AA46" s="4"/>
      <c r="AB46" s="4"/>
      <c r="AC46" s="4"/>
      <c r="AD46" s="4"/>
      <c r="AE46" s="4"/>
      <c r="AF46" s="4"/>
    </row>
    <row r="47" spans="1:32" ht="42" hidden="1" customHeight="1" thickBot="1" x14ac:dyDescent="0.3">
      <c r="A47" s="100"/>
      <c r="B47" s="163">
        <f>C8</f>
        <v>0</v>
      </c>
      <c r="C47" s="164"/>
      <c r="D47" s="164"/>
      <c r="E47" s="165"/>
      <c r="F47" s="166"/>
      <c r="G47" s="92"/>
      <c r="H47" s="1"/>
      <c r="I47" s="116"/>
      <c r="J47" s="116"/>
      <c r="K47" s="116"/>
      <c r="L47" s="116"/>
      <c r="M47" s="116"/>
      <c r="N47" s="3"/>
      <c r="O47" s="3"/>
      <c r="P47" s="116"/>
      <c r="Q47" s="116"/>
      <c r="R47" s="116"/>
      <c r="S47" s="4"/>
      <c r="T47" s="4"/>
      <c r="U47" s="4"/>
      <c r="V47" s="4"/>
      <c r="W47" s="4"/>
      <c r="X47" s="4"/>
      <c r="Y47" s="4"/>
      <c r="Z47" s="4"/>
      <c r="AA47" s="4"/>
      <c r="AB47" s="4"/>
      <c r="AC47" s="4"/>
      <c r="AD47" s="4"/>
      <c r="AE47" s="4"/>
      <c r="AF47" s="4"/>
    </row>
    <row r="48" spans="1:32" ht="41.25" hidden="1" customHeight="1" thickBot="1" x14ac:dyDescent="0.3">
      <c r="A48" s="100"/>
      <c r="B48" s="163">
        <f>C9</f>
        <v>0</v>
      </c>
      <c r="C48" s="164"/>
      <c r="D48" s="164"/>
      <c r="E48" s="165"/>
      <c r="F48" s="166"/>
      <c r="G48" s="92"/>
      <c r="H48" s="1"/>
      <c r="I48" s="116"/>
      <c r="J48" s="116"/>
      <c r="K48" s="116"/>
      <c r="L48" s="116"/>
      <c r="M48" s="116"/>
      <c r="N48" s="3"/>
      <c r="O48" s="3"/>
      <c r="P48" s="116"/>
      <c r="Q48" s="116"/>
      <c r="R48" s="116"/>
      <c r="S48" s="4"/>
      <c r="T48" s="4"/>
      <c r="U48" s="4"/>
      <c r="V48" s="4"/>
      <c r="W48" s="4"/>
      <c r="X48" s="4"/>
      <c r="Y48" s="4"/>
      <c r="Z48" s="4"/>
      <c r="AA48" s="4"/>
      <c r="AB48" s="4"/>
      <c r="AC48" s="4"/>
      <c r="AD48" s="4"/>
      <c r="AE48" s="4"/>
      <c r="AF48" s="4"/>
    </row>
    <row r="49" spans="1:32" ht="40.5" hidden="1" customHeight="1" thickBot="1" x14ac:dyDescent="0.3">
      <c r="A49" s="100"/>
      <c r="B49" s="155">
        <f>C11</f>
        <v>0</v>
      </c>
      <c r="C49" s="156"/>
      <c r="D49" s="156"/>
      <c r="E49" s="157"/>
      <c r="F49" s="158"/>
      <c r="G49" s="92"/>
      <c r="H49" s="1"/>
      <c r="I49" s="116"/>
      <c r="J49" s="116"/>
      <c r="K49" s="116"/>
      <c r="L49" s="116"/>
      <c r="M49" s="116"/>
      <c r="N49" s="3"/>
      <c r="O49" s="3"/>
      <c r="P49" s="116"/>
      <c r="Q49" s="116"/>
      <c r="R49" s="116"/>
      <c r="S49" s="4"/>
      <c r="T49" s="4"/>
      <c r="U49" s="4"/>
      <c r="V49" s="4"/>
      <c r="W49" s="4"/>
      <c r="X49" s="4"/>
      <c r="Y49" s="4"/>
      <c r="Z49" s="4"/>
      <c r="AA49" s="4"/>
      <c r="AB49" s="4"/>
      <c r="AC49" s="4"/>
      <c r="AD49" s="4"/>
      <c r="AE49" s="4"/>
      <c r="AF49" s="4"/>
    </row>
    <row r="50" spans="1:32" ht="15.75" thickTop="1" x14ac:dyDescent="0.25"/>
  </sheetData>
  <sheetProtection algorithmName="SHA-512" hashValue="gwjG6bkh9vwYsOuLBvpn91FGt2VxjPMNB5qfvmjTX7fy8LfONZY3zRAv7s7PFYvkVOg2ln3klgjzb/mV4+uL5A==" saltValue="S1U8HKHmZWH322hdBYeMPQ==" spinCount="100000" sheet="1" selectLockedCells="1"/>
  <mergeCells count="53">
    <mergeCell ref="A31:F31"/>
    <mergeCell ref="A12:B12"/>
    <mergeCell ref="C12:F12"/>
    <mergeCell ref="A4:F4"/>
    <mergeCell ref="A5:B5"/>
    <mergeCell ref="C5:F5"/>
    <mergeCell ref="A7:B7"/>
    <mergeCell ref="C7:F7"/>
    <mergeCell ref="A8:B8"/>
    <mergeCell ref="C8:F8"/>
    <mergeCell ref="A9:B9"/>
    <mergeCell ref="C9:F9"/>
    <mergeCell ref="A10:B10"/>
    <mergeCell ref="C10:F10"/>
    <mergeCell ref="A6:B6"/>
    <mergeCell ref="C6:F6"/>
    <mergeCell ref="B34:E34"/>
    <mergeCell ref="A35:F35"/>
    <mergeCell ref="A1:F1"/>
    <mergeCell ref="A11:B11"/>
    <mergeCell ref="C11:F11"/>
    <mergeCell ref="B32:E32"/>
    <mergeCell ref="B13:E13"/>
    <mergeCell ref="B14:E14"/>
    <mergeCell ref="B15:F15"/>
    <mergeCell ref="B23:F23"/>
    <mergeCell ref="B24:F24"/>
    <mergeCell ref="A25:F25"/>
    <mergeCell ref="B26:E26"/>
    <mergeCell ref="B27:E27"/>
    <mergeCell ref="B28:E28"/>
    <mergeCell ref="B29:E29"/>
    <mergeCell ref="B40:C40"/>
    <mergeCell ref="B41:C41"/>
    <mergeCell ref="B42:C42"/>
    <mergeCell ref="B43:D43"/>
    <mergeCell ref="A44:F44"/>
    <mergeCell ref="A30:F30"/>
    <mergeCell ref="B49:D49"/>
    <mergeCell ref="E49:F49"/>
    <mergeCell ref="B46:D46"/>
    <mergeCell ref="E46:F46"/>
    <mergeCell ref="B47:D47"/>
    <mergeCell ref="E47:F47"/>
    <mergeCell ref="B48:D48"/>
    <mergeCell ref="E48:F48"/>
    <mergeCell ref="B45:C45"/>
    <mergeCell ref="B33:E33"/>
    <mergeCell ref="A36:F36"/>
    <mergeCell ref="B37:C37"/>
    <mergeCell ref="D37:F37"/>
    <mergeCell ref="B38:C38"/>
    <mergeCell ref="B39:C39"/>
  </mergeCells>
  <conditionalFormatting sqref="D38">
    <cfRule type="expression" dxfId="107" priority="20">
      <formula>NOT(D38)</formula>
    </cfRule>
    <cfRule type="expression" dxfId="106" priority="21">
      <formula>D38</formula>
    </cfRule>
  </conditionalFormatting>
  <conditionalFormatting sqref="C3">
    <cfRule type="expression" dxfId="105" priority="19">
      <formula>(H12=1)</formula>
    </cfRule>
  </conditionalFormatting>
  <conditionalFormatting sqref="D3">
    <cfRule type="expression" dxfId="104" priority="18">
      <formula>(H12=2)</formula>
    </cfRule>
  </conditionalFormatting>
  <conditionalFormatting sqref="E3">
    <cfRule type="expression" dxfId="103" priority="17">
      <formula>(H12=3)</formula>
    </cfRule>
  </conditionalFormatting>
  <conditionalFormatting sqref="C2">
    <cfRule type="expression" dxfId="102" priority="15">
      <formula>G2</formula>
    </cfRule>
    <cfRule type="expression" dxfId="101" priority="16">
      <formula>NOT(G2)</formula>
    </cfRule>
  </conditionalFormatting>
  <conditionalFormatting sqref="D2">
    <cfRule type="expression" dxfId="100" priority="13">
      <formula>H2</formula>
    </cfRule>
    <cfRule type="expression" dxfId="99" priority="14">
      <formula>NOT(H2)</formula>
    </cfRule>
  </conditionalFormatting>
  <conditionalFormatting sqref="E2">
    <cfRule type="expression" dxfId="98" priority="11">
      <formula>I2</formula>
    </cfRule>
    <cfRule type="expression" dxfId="97" priority="12">
      <formula>NOT(I2)</formula>
    </cfRule>
  </conditionalFormatting>
  <conditionalFormatting sqref="B32:E33 B26:B29 C26:E27">
    <cfRule type="expression" dxfId="96" priority="10" stopIfTrue="1">
      <formula>H26</formula>
    </cfRule>
  </conditionalFormatting>
  <conditionalFormatting sqref="B32:E33 B29:E29">
    <cfRule type="expression" dxfId="95" priority="9">
      <formula>NOT(H29)</formula>
    </cfRule>
  </conditionalFormatting>
  <conditionalFormatting sqref="B26:B28 C26:E27">
    <cfRule type="expression" dxfId="94" priority="8">
      <formula>NOT(H26)</formula>
    </cfRule>
  </conditionalFormatting>
  <conditionalFormatting sqref="A2">
    <cfRule type="expression" dxfId="93" priority="6">
      <formula>NOT(D38)</formula>
    </cfRule>
    <cfRule type="expression" dxfId="92" priority="7">
      <formula>AND(D38)</formula>
    </cfRule>
  </conditionalFormatting>
  <conditionalFormatting sqref="F2">
    <cfRule type="expression" dxfId="91" priority="4" stopIfTrue="1">
      <formula>J2</formula>
    </cfRule>
    <cfRule type="expression" dxfId="90" priority="5">
      <formula>NOT(J2)</formula>
    </cfRule>
  </conditionalFormatting>
  <conditionalFormatting sqref="B34:E34">
    <cfRule type="expression" dxfId="89" priority="1">
      <formula>OR((F43&gt;5),H12=1)</formula>
    </cfRule>
    <cfRule type="expression" dxfId="88" priority="2">
      <formula>NOT(H34)</formula>
    </cfRule>
    <cfRule type="expression" dxfId="87" priority="3" stopIfTrue="1">
      <formula>H34</formula>
    </cfRule>
  </conditionalFormatting>
  <pageMargins left="0.70866141732283472" right="0.70866141732283472" top="0.74803149606299213" bottom="0.74803149606299213" header="0.31496062992125984" footer="0.31496062992125984"/>
  <pageSetup paperSize="9" scale="80" orientation="landscape" r:id="rId1"/>
  <drawing r:id="rId2"/>
  <legacyDrawing r:id="rId3"/>
  <oleObjects>
    <mc:AlternateContent xmlns:mc="http://schemas.openxmlformats.org/markup-compatibility/2006">
      <mc:Choice Requires="x14">
        <oleObject progId="Word.Document.12" shapeId="2109" r:id="rId4">
          <objectPr locked="0" defaultSize="0" autoPict="0" r:id="rId5">
            <anchor moveWithCells="1">
              <from>
                <xdr:col>1</xdr:col>
                <xdr:colOff>9525</xdr:colOff>
                <xdr:row>23</xdr:row>
                <xdr:rowOff>19050</xdr:rowOff>
              </from>
              <to>
                <xdr:col>13</xdr:col>
                <xdr:colOff>19050</xdr:colOff>
                <xdr:row>23</xdr:row>
                <xdr:rowOff>1704975</xdr:rowOff>
              </to>
            </anchor>
          </objectPr>
        </oleObject>
      </mc:Choice>
      <mc:Fallback>
        <oleObject progId="Word.Document.12" shapeId="2109" r:id="rId4"/>
      </mc:Fallback>
    </mc:AlternateContent>
  </oleObjects>
  <mc:AlternateContent xmlns:mc="http://schemas.openxmlformats.org/markup-compatibility/2006">
    <mc:Choice Requires="x14">
      <controls>
        <mc:AlternateContent xmlns:mc="http://schemas.openxmlformats.org/markup-compatibility/2006">
          <mc:Choice Requires="x14">
            <control shapeId="2083" r:id="rId6" name="Check Box 35">
              <controlPr locked="0" defaultSize="0" autoFill="0" autoLine="0" autoPict="0">
                <anchor moveWithCells="1" sizeWithCells="1">
                  <from>
                    <xdr:col>0</xdr:col>
                    <xdr:colOff>323850</xdr:colOff>
                    <xdr:row>16</xdr:row>
                    <xdr:rowOff>9525</xdr:rowOff>
                  </from>
                  <to>
                    <xdr:col>0</xdr:col>
                    <xdr:colOff>523875</xdr:colOff>
                    <xdr:row>17</xdr:row>
                    <xdr:rowOff>9525</xdr:rowOff>
                  </to>
                </anchor>
              </controlPr>
            </control>
          </mc:Choice>
        </mc:AlternateContent>
        <mc:AlternateContent xmlns:mc="http://schemas.openxmlformats.org/markup-compatibility/2006">
          <mc:Choice Requires="x14">
            <control shapeId="2084" r:id="rId7" name="Check Box 36">
              <controlPr locked="0" defaultSize="0" autoFill="0" autoLine="0" autoPict="0">
                <anchor moveWithCells="1" sizeWithCells="1">
                  <from>
                    <xdr:col>1</xdr:col>
                    <xdr:colOff>485775</xdr:colOff>
                    <xdr:row>16</xdr:row>
                    <xdr:rowOff>0</xdr:rowOff>
                  </from>
                  <to>
                    <xdr:col>1</xdr:col>
                    <xdr:colOff>695325</xdr:colOff>
                    <xdr:row>16</xdr:row>
                    <xdr:rowOff>161925</xdr:rowOff>
                  </to>
                </anchor>
              </controlPr>
            </control>
          </mc:Choice>
        </mc:AlternateContent>
        <mc:AlternateContent xmlns:mc="http://schemas.openxmlformats.org/markup-compatibility/2006">
          <mc:Choice Requires="x14">
            <control shapeId="2085" r:id="rId8" name="Check Box 37">
              <controlPr locked="0" defaultSize="0" autoFill="0" autoLine="0" autoPict="0">
                <anchor moveWithCells="1" sizeWithCells="1">
                  <from>
                    <xdr:col>2</xdr:col>
                    <xdr:colOff>523875</xdr:colOff>
                    <xdr:row>16</xdr:row>
                    <xdr:rowOff>0</xdr:rowOff>
                  </from>
                  <to>
                    <xdr:col>2</xdr:col>
                    <xdr:colOff>723900</xdr:colOff>
                    <xdr:row>16</xdr:row>
                    <xdr:rowOff>161925</xdr:rowOff>
                  </to>
                </anchor>
              </controlPr>
            </control>
          </mc:Choice>
        </mc:AlternateContent>
        <mc:AlternateContent xmlns:mc="http://schemas.openxmlformats.org/markup-compatibility/2006">
          <mc:Choice Requires="x14">
            <control shapeId="2086" r:id="rId9" name="Check Box 38">
              <controlPr locked="0" defaultSize="0" autoFill="0" autoLine="0" autoPict="0">
                <anchor moveWithCells="1" sizeWithCells="1">
                  <from>
                    <xdr:col>0</xdr:col>
                    <xdr:colOff>323850</xdr:colOff>
                    <xdr:row>17</xdr:row>
                    <xdr:rowOff>0</xdr:rowOff>
                  </from>
                  <to>
                    <xdr:col>0</xdr:col>
                    <xdr:colOff>523875</xdr:colOff>
                    <xdr:row>17</xdr:row>
                    <xdr:rowOff>161925</xdr:rowOff>
                  </to>
                </anchor>
              </controlPr>
            </control>
          </mc:Choice>
        </mc:AlternateContent>
        <mc:AlternateContent xmlns:mc="http://schemas.openxmlformats.org/markup-compatibility/2006">
          <mc:Choice Requires="x14">
            <control shapeId="2087" r:id="rId10" name="Check Box 39">
              <controlPr locked="0" defaultSize="0" autoFill="0" autoLine="0" autoPict="0">
                <anchor moveWithCells="1" sizeWithCells="1">
                  <from>
                    <xdr:col>0</xdr:col>
                    <xdr:colOff>323850</xdr:colOff>
                    <xdr:row>17</xdr:row>
                    <xdr:rowOff>209550</xdr:rowOff>
                  </from>
                  <to>
                    <xdr:col>0</xdr:col>
                    <xdr:colOff>523875</xdr:colOff>
                    <xdr:row>18</xdr:row>
                    <xdr:rowOff>209550</xdr:rowOff>
                  </to>
                </anchor>
              </controlPr>
            </control>
          </mc:Choice>
        </mc:AlternateContent>
        <mc:AlternateContent xmlns:mc="http://schemas.openxmlformats.org/markup-compatibility/2006">
          <mc:Choice Requires="x14">
            <control shapeId="2088" r:id="rId11" name="Check Box 40">
              <controlPr locked="0" defaultSize="0" autoFill="0" autoLine="0" autoPict="0">
                <anchor moveWithCells="1" sizeWithCells="1">
                  <from>
                    <xdr:col>0</xdr:col>
                    <xdr:colOff>323850</xdr:colOff>
                    <xdr:row>18</xdr:row>
                    <xdr:rowOff>219075</xdr:rowOff>
                  </from>
                  <to>
                    <xdr:col>0</xdr:col>
                    <xdr:colOff>523875</xdr:colOff>
                    <xdr:row>19</xdr:row>
                    <xdr:rowOff>209550</xdr:rowOff>
                  </to>
                </anchor>
              </controlPr>
            </control>
          </mc:Choice>
        </mc:AlternateContent>
        <mc:AlternateContent xmlns:mc="http://schemas.openxmlformats.org/markup-compatibility/2006">
          <mc:Choice Requires="x14">
            <control shapeId="2089" r:id="rId12" name="Check Box 41">
              <controlPr locked="0" defaultSize="0" autoFill="0" autoLine="0" autoPict="0">
                <anchor moveWithCells="1" sizeWithCells="1">
                  <from>
                    <xdr:col>1</xdr:col>
                    <xdr:colOff>485775</xdr:colOff>
                    <xdr:row>17</xdr:row>
                    <xdr:rowOff>9525</xdr:rowOff>
                  </from>
                  <to>
                    <xdr:col>1</xdr:col>
                    <xdr:colOff>695325</xdr:colOff>
                    <xdr:row>18</xdr:row>
                    <xdr:rowOff>0</xdr:rowOff>
                  </to>
                </anchor>
              </controlPr>
            </control>
          </mc:Choice>
        </mc:AlternateContent>
        <mc:AlternateContent xmlns:mc="http://schemas.openxmlformats.org/markup-compatibility/2006">
          <mc:Choice Requires="x14">
            <control shapeId="2090" r:id="rId13" name="Check Box 42">
              <controlPr locked="0" defaultSize="0" autoFill="0" autoLine="0" autoPict="0">
                <anchor moveWithCells="1" sizeWithCells="1">
                  <from>
                    <xdr:col>2</xdr:col>
                    <xdr:colOff>523875</xdr:colOff>
                    <xdr:row>17</xdr:row>
                    <xdr:rowOff>0</xdr:rowOff>
                  </from>
                  <to>
                    <xdr:col>2</xdr:col>
                    <xdr:colOff>723900</xdr:colOff>
                    <xdr:row>17</xdr:row>
                    <xdr:rowOff>161925</xdr:rowOff>
                  </to>
                </anchor>
              </controlPr>
            </control>
          </mc:Choice>
        </mc:AlternateContent>
        <mc:AlternateContent xmlns:mc="http://schemas.openxmlformats.org/markup-compatibility/2006">
          <mc:Choice Requires="x14">
            <control shapeId="2091" r:id="rId14" name="Check Box 43">
              <controlPr locked="0" defaultSize="0" autoFill="0" autoLine="0" autoPict="0">
                <anchor moveWithCells="1" sizeWithCells="1">
                  <from>
                    <xdr:col>2</xdr:col>
                    <xdr:colOff>523875</xdr:colOff>
                    <xdr:row>18</xdr:row>
                    <xdr:rowOff>0</xdr:rowOff>
                  </from>
                  <to>
                    <xdr:col>2</xdr:col>
                    <xdr:colOff>723900</xdr:colOff>
                    <xdr:row>19</xdr:row>
                    <xdr:rowOff>0</xdr:rowOff>
                  </to>
                </anchor>
              </controlPr>
            </control>
          </mc:Choice>
        </mc:AlternateContent>
        <mc:AlternateContent xmlns:mc="http://schemas.openxmlformats.org/markup-compatibility/2006">
          <mc:Choice Requires="x14">
            <control shapeId="2092" r:id="rId15" name="Check Box 44">
              <controlPr locked="0" defaultSize="0" autoFill="0" autoLine="0" autoPict="0">
                <anchor moveWithCells="1" sizeWithCells="1">
                  <from>
                    <xdr:col>2</xdr:col>
                    <xdr:colOff>523875</xdr:colOff>
                    <xdr:row>18</xdr:row>
                    <xdr:rowOff>171450</xdr:rowOff>
                  </from>
                  <to>
                    <xdr:col>2</xdr:col>
                    <xdr:colOff>723900</xdr:colOff>
                    <xdr:row>20</xdr:row>
                    <xdr:rowOff>9525</xdr:rowOff>
                  </to>
                </anchor>
              </controlPr>
            </control>
          </mc:Choice>
        </mc:AlternateContent>
        <mc:AlternateContent xmlns:mc="http://schemas.openxmlformats.org/markup-compatibility/2006">
          <mc:Choice Requires="x14">
            <control shapeId="2093" r:id="rId16" name="Check Box 45">
              <controlPr locked="0" defaultSize="0" autoFill="0" autoLine="0" autoPict="0">
                <anchor moveWithCells="1" sizeWithCells="1">
                  <from>
                    <xdr:col>2</xdr:col>
                    <xdr:colOff>523875</xdr:colOff>
                    <xdr:row>19</xdr:row>
                    <xdr:rowOff>161925</xdr:rowOff>
                  </from>
                  <to>
                    <xdr:col>2</xdr:col>
                    <xdr:colOff>723900</xdr:colOff>
                    <xdr:row>21</xdr:row>
                    <xdr:rowOff>19050</xdr:rowOff>
                  </to>
                </anchor>
              </controlPr>
            </control>
          </mc:Choice>
        </mc:AlternateContent>
        <mc:AlternateContent xmlns:mc="http://schemas.openxmlformats.org/markup-compatibility/2006">
          <mc:Choice Requires="x14">
            <control shapeId="2094" r:id="rId17" name="Check Box 46">
              <controlPr locked="0" defaultSize="0" autoFill="0" autoLine="0" autoPict="0">
                <anchor moveWithCells="1" sizeWithCells="1">
                  <from>
                    <xdr:col>3</xdr:col>
                    <xdr:colOff>504825</xdr:colOff>
                    <xdr:row>16</xdr:row>
                    <xdr:rowOff>9525</xdr:rowOff>
                  </from>
                  <to>
                    <xdr:col>3</xdr:col>
                    <xdr:colOff>704850</xdr:colOff>
                    <xdr:row>17</xdr:row>
                    <xdr:rowOff>9525</xdr:rowOff>
                  </to>
                </anchor>
              </controlPr>
            </control>
          </mc:Choice>
        </mc:AlternateContent>
        <mc:AlternateContent xmlns:mc="http://schemas.openxmlformats.org/markup-compatibility/2006">
          <mc:Choice Requires="x14">
            <control shapeId="2095" r:id="rId18" name="Check Box 47">
              <controlPr locked="0" defaultSize="0" autoFill="0" autoLine="0" autoPict="0">
                <anchor moveWithCells="1" sizeWithCells="1">
                  <from>
                    <xdr:col>3</xdr:col>
                    <xdr:colOff>504825</xdr:colOff>
                    <xdr:row>17</xdr:row>
                    <xdr:rowOff>9525</xdr:rowOff>
                  </from>
                  <to>
                    <xdr:col>3</xdr:col>
                    <xdr:colOff>704850</xdr:colOff>
                    <xdr:row>18</xdr:row>
                    <xdr:rowOff>9525</xdr:rowOff>
                  </to>
                </anchor>
              </controlPr>
            </control>
          </mc:Choice>
        </mc:AlternateContent>
        <mc:AlternateContent xmlns:mc="http://schemas.openxmlformats.org/markup-compatibility/2006">
          <mc:Choice Requires="x14">
            <control shapeId="2096" r:id="rId19" name="Check Box 48">
              <controlPr locked="0" defaultSize="0" autoFill="0" autoLine="0" autoPict="0">
                <anchor moveWithCells="1" sizeWithCells="1">
                  <from>
                    <xdr:col>3</xdr:col>
                    <xdr:colOff>495300</xdr:colOff>
                    <xdr:row>18</xdr:row>
                    <xdr:rowOff>0</xdr:rowOff>
                  </from>
                  <to>
                    <xdr:col>3</xdr:col>
                    <xdr:colOff>695325</xdr:colOff>
                    <xdr:row>19</xdr:row>
                    <xdr:rowOff>0</xdr:rowOff>
                  </to>
                </anchor>
              </controlPr>
            </control>
          </mc:Choice>
        </mc:AlternateContent>
        <mc:AlternateContent xmlns:mc="http://schemas.openxmlformats.org/markup-compatibility/2006">
          <mc:Choice Requires="x14">
            <control shapeId="2097" r:id="rId20" name="Check Box 49">
              <controlPr locked="0" defaultSize="0" autoFill="0" autoLine="0" autoPict="0">
                <anchor moveWithCells="1" sizeWithCells="1">
                  <from>
                    <xdr:col>4</xdr:col>
                    <xdr:colOff>504825</xdr:colOff>
                    <xdr:row>16</xdr:row>
                    <xdr:rowOff>19050</xdr:rowOff>
                  </from>
                  <to>
                    <xdr:col>4</xdr:col>
                    <xdr:colOff>714375</xdr:colOff>
                    <xdr:row>17</xdr:row>
                    <xdr:rowOff>9525</xdr:rowOff>
                  </to>
                </anchor>
              </controlPr>
            </control>
          </mc:Choice>
        </mc:AlternateContent>
        <mc:AlternateContent xmlns:mc="http://schemas.openxmlformats.org/markup-compatibility/2006">
          <mc:Choice Requires="x14">
            <control shapeId="2098" r:id="rId21" name="Check Box 50">
              <controlPr locked="0" defaultSize="0" autoFill="0" autoLine="0" autoPict="0">
                <anchor moveWithCells="1" sizeWithCells="1">
                  <from>
                    <xdr:col>4</xdr:col>
                    <xdr:colOff>504825</xdr:colOff>
                    <xdr:row>17</xdr:row>
                    <xdr:rowOff>0</xdr:rowOff>
                  </from>
                  <to>
                    <xdr:col>4</xdr:col>
                    <xdr:colOff>714375</xdr:colOff>
                    <xdr:row>17</xdr:row>
                    <xdr:rowOff>161925</xdr:rowOff>
                  </to>
                </anchor>
              </controlPr>
            </control>
          </mc:Choice>
        </mc:AlternateContent>
        <mc:AlternateContent xmlns:mc="http://schemas.openxmlformats.org/markup-compatibility/2006">
          <mc:Choice Requires="x14">
            <control shapeId="2099" r:id="rId22" name="Check Box 51">
              <controlPr locked="0" defaultSize="0" autoFill="0" autoLine="0" autoPict="0">
                <anchor moveWithCells="1" sizeWithCells="1">
                  <from>
                    <xdr:col>4</xdr:col>
                    <xdr:colOff>514350</xdr:colOff>
                    <xdr:row>18</xdr:row>
                    <xdr:rowOff>0</xdr:rowOff>
                  </from>
                  <to>
                    <xdr:col>4</xdr:col>
                    <xdr:colOff>714375</xdr:colOff>
                    <xdr:row>19</xdr:row>
                    <xdr:rowOff>0</xdr:rowOff>
                  </to>
                </anchor>
              </controlPr>
            </control>
          </mc:Choice>
        </mc:AlternateContent>
        <mc:AlternateContent xmlns:mc="http://schemas.openxmlformats.org/markup-compatibility/2006">
          <mc:Choice Requires="x14">
            <control shapeId="2100" r:id="rId23" name="Check Box 52">
              <controlPr locked="0" defaultSize="0" autoFill="0" autoLine="0" autoPict="0">
                <anchor moveWithCells="1" sizeWithCells="1">
                  <from>
                    <xdr:col>4</xdr:col>
                    <xdr:colOff>514350</xdr:colOff>
                    <xdr:row>19</xdr:row>
                    <xdr:rowOff>0</xdr:rowOff>
                  </from>
                  <to>
                    <xdr:col>4</xdr:col>
                    <xdr:colOff>714375</xdr:colOff>
                    <xdr:row>20</xdr:row>
                    <xdr:rowOff>9525</xdr:rowOff>
                  </to>
                </anchor>
              </controlPr>
            </control>
          </mc:Choice>
        </mc:AlternateContent>
        <mc:AlternateContent xmlns:mc="http://schemas.openxmlformats.org/markup-compatibility/2006">
          <mc:Choice Requires="x14">
            <control shapeId="2101" r:id="rId24" name="Check Box 53">
              <controlPr locked="0" defaultSize="0" autoFill="0" autoLine="0" autoPict="0">
                <anchor moveWithCells="1" sizeWithCells="1">
                  <from>
                    <xdr:col>4</xdr:col>
                    <xdr:colOff>514350</xdr:colOff>
                    <xdr:row>19</xdr:row>
                    <xdr:rowOff>152400</xdr:rowOff>
                  </from>
                  <to>
                    <xdr:col>4</xdr:col>
                    <xdr:colOff>714375</xdr:colOff>
                    <xdr:row>21</xdr:row>
                    <xdr:rowOff>9525</xdr:rowOff>
                  </to>
                </anchor>
              </controlPr>
            </control>
          </mc:Choice>
        </mc:AlternateContent>
        <mc:AlternateContent xmlns:mc="http://schemas.openxmlformats.org/markup-compatibility/2006">
          <mc:Choice Requires="x14">
            <control shapeId="2102" r:id="rId25" name="Check Box 54">
              <controlPr locked="0" defaultSize="0" autoFill="0" autoLine="0" autoPict="0">
                <anchor moveWithCells="1" sizeWithCells="1">
                  <from>
                    <xdr:col>4</xdr:col>
                    <xdr:colOff>514350</xdr:colOff>
                    <xdr:row>20</xdr:row>
                    <xdr:rowOff>152400</xdr:rowOff>
                  </from>
                  <to>
                    <xdr:col>4</xdr:col>
                    <xdr:colOff>714375</xdr:colOff>
                    <xdr:row>22</xdr:row>
                    <xdr:rowOff>19050</xdr:rowOff>
                  </to>
                </anchor>
              </controlPr>
            </control>
          </mc:Choice>
        </mc:AlternateContent>
        <mc:AlternateContent xmlns:mc="http://schemas.openxmlformats.org/markup-compatibility/2006">
          <mc:Choice Requires="x14">
            <control shapeId="2103" r:id="rId26" name="Check Box 55">
              <controlPr locked="0" defaultSize="0" autoFill="0" autoLine="0" autoPict="0">
                <anchor moveWithCells="1" sizeWithCells="1">
                  <from>
                    <xdr:col>5</xdr:col>
                    <xdr:colOff>542925</xdr:colOff>
                    <xdr:row>16</xdr:row>
                    <xdr:rowOff>19050</xdr:rowOff>
                  </from>
                  <to>
                    <xdr:col>5</xdr:col>
                    <xdr:colOff>752475</xdr:colOff>
                    <xdr:row>17</xdr:row>
                    <xdr:rowOff>9525</xdr:rowOff>
                  </to>
                </anchor>
              </controlPr>
            </control>
          </mc:Choice>
        </mc:AlternateContent>
        <mc:AlternateContent xmlns:mc="http://schemas.openxmlformats.org/markup-compatibility/2006">
          <mc:Choice Requires="x14">
            <control shapeId="2104" r:id="rId27" name="Check Box 56">
              <controlPr locked="0" defaultSize="0" autoFill="0" autoLine="0" autoPict="0">
                <anchor moveWithCells="1" sizeWithCells="1">
                  <from>
                    <xdr:col>5</xdr:col>
                    <xdr:colOff>542925</xdr:colOff>
                    <xdr:row>17</xdr:row>
                    <xdr:rowOff>9525</xdr:rowOff>
                  </from>
                  <to>
                    <xdr:col>5</xdr:col>
                    <xdr:colOff>752475</xdr:colOff>
                    <xdr:row>18</xdr:row>
                    <xdr:rowOff>9525</xdr:rowOff>
                  </to>
                </anchor>
              </controlPr>
            </control>
          </mc:Choice>
        </mc:AlternateContent>
        <mc:AlternateContent xmlns:mc="http://schemas.openxmlformats.org/markup-compatibility/2006">
          <mc:Choice Requires="x14">
            <control shapeId="2105" r:id="rId28" name="Check Box 57">
              <controlPr locked="0" defaultSize="0" autoFill="0" autoLine="0" autoPict="0">
                <anchor moveWithCells="1" sizeWithCells="1">
                  <from>
                    <xdr:col>5</xdr:col>
                    <xdr:colOff>552450</xdr:colOff>
                    <xdr:row>18</xdr:row>
                    <xdr:rowOff>0</xdr:rowOff>
                  </from>
                  <to>
                    <xdr:col>5</xdr:col>
                    <xdr:colOff>752475</xdr:colOff>
                    <xdr:row>19</xdr:row>
                    <xdr:rowOff>0</xdr:rowOff>
                  </to>
                </anchor>
              </controlPr>
            </control>
          </mc:Choice>
        </mc:AlternateContent>
        <mc:AlternateContent xmlns:mc="http://schemas.openxmlformats.org/markup-compatibility/2006">
          <mc:Choice Requires="x14">
            <control shapeId="2106" r:id="rId29" name="Check Box 58">
              <controlPr locked="0" defaultSize="0" autoFill="0" autoLine="0" autoPict="0">
                <anchor moveWithCells="1" sizeWithCells="1">
                  <from>
                    <xdr:col>5</xdr:col>
                    <xdr:colOff>552450</xdr:colOff>
                    <xdr:row>18</xdr:row>
                    <xdr:rowOff>171450</xdr:rowOff>
                  </from>
                  <to>
                    <xdr:col>5</xdr:col>
                    <xdr:colOff>752475</xdr:colOff>
                    <xdr:row>20</xdr:row>
                    <xdr:rowOff>9525</xdr:rowOff>
                  </to>
                </anchor>
              </controlPr>
            </control>
          </mc:Choice>
        </mc:AlternateContent>
        <mc:AlternateContent xmlns:mc="http://schemas.openxmlformats.org/markup-compatibility/2006">
          <mc:Choice Requires="x14">
            <control shapeId="2107" r:id="rId30" name="Check Box 59">
              <controlPr locked="0" defaultSize="0" autoFill="0" autoLine="0" autoPict="0">
                <anchor moveWithCells="1" sizeWithCells="1">
                  <from>
                    <xdr:col>5</xdr:col>
                    <xdr:colOff>552450</xdr:colOff>
                    <xdr:row>19</xdr:row>
                    <xdr:rowOff>152400</xdr:rowOff>
                  </from>
                  <to>
                    <xdr:col>5</xdr:col>
                    <xdr:colOff>752475</xdr:colOff>
                    <xdr:row>21</xdr:row>
                    <xdr:rowOff>9525</xdr:rowOff>
                  </to>
                </anchor>
              </controlPr>
            </control>
          </mc:Choice>
        </mc:AlternateContent>
        <mc:AlternateContent xmlns:mc="http://schemas.openxmlformats.org/markup-compatibility/2006">
          <mc:Choice Requires="x14">
            <control shapeId="2108" r:id="rId31" name="Check Box 60">
              <controlPr locked="0" defaultSize="0" autoFill="0" autoLine="0" autoPict="0">
                <anchor moveWithCells="1" sizeWithCells="1">
                  <from>
                    <xdr:col>5</xdr:col>
                    <xdr:colOff>552450</xdr:colOff>
                    <xdr:row>20</xdr:row>
                    <xdr:rowOff>152400</xdr:rowOff>
                  </from>
                  <to>
                    <xdr:col>5</xdr:col>
                    <xdr:colOff>752475</xdr:colOff>
                    <xdr:row>22</xdr:row>
                    <xdr:rowOff>19050</xdr:rowOff>
                  </to>
                </anchor>
              </controlPr>
            </control>
          </mc:Choice>
        </mc:AlternateContent>
        <mc:AlternateContent xmlns:mc="http://schemas.openxmlformats.org/markup-compatibility/2006">
          <mc:Choice Requires="x14">
            <control shapeId="2114" r:id="rId32" name="Check Box 66">
              <controlPr locked="0" defaultSize="0" autoFill="0" autoLine="0" autoPict="0">
                <anchor moveWithCells="1">
                  <from>
                    <xdr:col>0</xdr:col>
                    <xdr:colOff>419100</xdr:colOff>
                    <xdr:row>25</xdr:row>
                    <xdr:rowOff>28575</xdr:rowOff>
                  </from>
                  <to>
                    <xdr:col>0</xdr:col>
                    <xdr:colOff>619125</xdr:colOff>
                    <xdr:row>25</xdr:row>
                    <xdr:rowOff>171450</xdr:rowOff>
                  </to>
                </anchor>
              </controlPr>
            </control>
          </mc:Choice>
        </mc:AlternateContent>
        <mc:AlternateContent xmlns:mc="http://schemas.openxmlformats.org/markup-compatibility/2006">
          <mc:Choice Requires="x14">
            <control shapeId="2115" r:id="rId33" name="Check Box 67">
              <controlPr locked="0" defaultSize="0" autoFill="0" autoLine="0" autoPict="0">
                <anchor moveWithCells="1">
                  <from>
                    <xdr:col>0</xdr:col>
                    <xdr:colOff>419100</xdr:colOff>
                    <xdr:row>26</xdr:row>
                    <xdr:rowOff>9525</xdr:rowOff>
                  </from>
                  <to>
                    <xdr:col>0</xdr:col>
                    <xdr:colOff>619125</xdr:colOff>
                    <xdr:row>26</xdr:row>
                    <xdr:rowOff>161925</xdr:rowOff>
                  </to>
                </anchor>
              </controlPr>
            </control>
          </mc:Choice>
        </mc:AlternateContent>
        <mc:AlternateContent xmlns:mc="http://schemas.openxmlformats.org/markup-compatibility/2006">
          <mc:Choice Requires="x14">
            <control shapeId="2117" r:id="rId34" name="Check Box 69">
              <controlPr defaultSize="0" autoFill="0" autoLine="0" autoPict="0">
                <anchor moveWithCells="1">
                  <from>
                    <xdr:col>0</xdr:col>
                    <xdr:colOff>428625</xdr:colOff>
                    <xdr:row>31</xdr:row>
                    <xdr:rowOff>19050</xdr:rowOff>
                  </from>
                  <to>
                    <xdr:col>0</xdr:col>
                    <xdr:colOff>628650</xdr:colOff>
                    <xdr:row>31</xdr:row>
                    <xdr:rowOff>161925</xdr:rowOff>
                  </to>
                </anchor>
              </controlPr>
            </control>
          </mc:Choice>
        </mc:AlternateContent>
        <mc:AlternateContent xmlns:mc="http://schemas.openxmlformats.org/markup-compatibility/2006">
          <mc:Choice Requires="x14">
            <control shapeId="2118" r:id="rId35" name="Check Box 70">
              <controlPr defaultSize="0" autoFill="0" autoLine="0" autoPict="0">
                <anchor moveWithCells="1">
                  <from>
                    <xdr:col>0</xdr:col>
                    <xdr:colOff>428625</xdr:colOff>
                    <xdr:row>32</xdr:row>
                    <xdr:rowOff>28575</xdr:rowOff>
                  </from>
                  <to>
                    <xdr:col>0</xdr:col>
                    <xdr:colOff>628650</xdr:colOff>
                    <xdr:row>32</xdr:row>
                    <xdr:rowOff>171450</xdr:rowOff>
                  </to>
                </anchor>
              </controlPr>
            </control>
          </mc:Choice>
        </mc:AlternateContent>
        <mc:AlternateContent xmlns:mc="http://schemas.openxmlformats.org/markup-compatibility/2006">
          <mc:Choice Requires="x14">
            <control shapeId="2120" r:id="rId36" name="Scroll Bar 72">
              <controlPr defaultSize="0" autoPict="0">
                <anchor moveWithCells="1">
                  <from>
                    <xdr:col>5</xdr:col>
                    <xdr:colOff>0</xdr:colOff>
                    <xdr:row>42</xdr:row>
                    <xdr:rowOff>533400</xdr:rowOff>
                  </from>
                  <to>
                    <xdr:col>13</xdr:col>
                    <xdr:colOff>9525</xdr:colOff>
                    <xdr:row>42</xdr:row>
                    <xdr:rowOff>695325</xdr:rowOff>
                  </to>
                </anchor>
              </controlPr>
            </control>
          </mc:Choice>
        </mc:AlternateContent>
        <mc:AlternateContent xmlns:mc="http://schemas.openxmlformats.org/markup-compatibility/2006">
          <mc:Choice Requires="x14">
            <control shapeId="2111" r:id="rId37" name="Option Button 63">
              <controlPr locked="0" defaultSize="0" autoFill="0" autoLine="0" autoPict="0" altText="Begeleide Stage_x000a_">
                <anchor moveWithCells="1" sizeWithCells="1">
                  <from>
                    <xdr:col>0</xdr:col>
                    <xdr:colOff>95250</xdr:colOff>
                    <xdr:row>11</xdr:row>
                    <xdr:rowOff>0</xdr:rowOff>
                  </from>
                  <to>
                    <xdr:col>1</xdr:col>
                    <xdr:colOff>523875</xdr:colOff>
                    <xdr:row>11</xdr:row>
                    <xdr:rowOff>219075</xdr:rowOff>
                  </to>
                </anchor>
              </controlPr>
            </control>
          </mc:Choice>
        </mc:AlternateContent>
        <mc:AlternateContent xmlns:mc="http://schemas.openxmlformats.org/markup-compatibility/2006">
          <mc:Choice Requires="x14">
            <control shapeId="2112" r:id="rId38" name="Option Button 64">
              <controlPr locked="0" defaultSize="0" autoFill="0" autoLine="0" autoPict="0">
                <anchor moveWithCells="1" sizeWithCells="1">
                  <from>
                    <xdr:col>0</xdr:col>
                    <xdr:colOff>104775</xdr:colOff>
                    <xdr:row>11</xdr:row>
                    <xdr:rowOff>180975</xdr:rowOff>
                  </from>
                  <to>
                    <xdr:col>1</xdr:col>
                    <xdr:colOff>152400</xdr:colOff>
                    <xdr:row>11</xdr:row>
                    <xdr:rowOff>314325</xdr:rowOff>
                  </to>
                </anchor>
              </controlPr>
            </control>
          </mc:Choice>
        </mc:AlternateContent>
        <mc:AlternateContent xmlns:mc="http://schemas.openxmlformats.org/markup-compatibility/2006">
          <mc:Choice Requires="x14">
            <control shapeId="2113" r:id="rId39" name="Option Button 65">
              <controlPr locked="0" defaultSize="0" autoFill="0" autoLine="0" autoPict="0">
                <anchor moveWithCells="1" sizeWithCells="1">
                  <from>
                    <xdr:col>0</xdr:col>
                    <xdr:colOff>95250</xdr:colOff>
                    <xdr:row>11</xdr:row>
                    <xdr:rowOff>276225</xdr:rowOff>
                  </from>
                  <to>
                    <xdr:col>1</xdr:col>
                    <xdr:colOff>142875</xdr:colOff>
                    <xdr:row>11</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F28"/>
  <sheetViews>
    <sheetView zoomScale="85" zoomScaleNormal="85" workbookViewId="0">
      <selection activeCell="K1" sqref="K1"/>
    </sheetView>
  </sheetViews>
  <sheetFormatPr defaultRowHeight="15" x14ac:dyDescent="0.25"/>
  <cols>
    <col min="1" max="1" width="18.140625" customWidth="1"/>
    <col min="2" max="2" width="26.28515625" customWidth="1"/>
    <col min="3" max="4" width="27.5703125" customWidth="1"/>
    <col min="5" max="6" width="27.42578125" customWidth="1"/>
    <col min="7" max="10" width="9.140625" hidden="1" customWidth="1"/>
  </cols>
  <sheetData>
    <row r="1" spans="1:32" ht="59.25" customHeight="1" thickTop="1" thickBot="1" x14ac:dyDescent="0.3">
      <c r="A1" s="188" t="s">
        <v>253</v>
      </c>
      <c r="B1" s="189"/>
      <c r="C1" s="189"/>
      <c r="D1" s="189"/>
      <c r="E1" s="189"/>
      <c r="F1" s="190"/>
      <c r="G1" s="121"/>
      <c r="H1" s="1"/>
      <c r="I1" s="121"/>
      <c r="J1" s="121"/>
      <c r="K1" s="121"/>
      <c r="L1" s="121"/>
      <c r="M1" s="121"/>
      <c r="N1" s="3"/>
      <c r="O1" s="3"/>
      <c r="P1" s="121"/>
      <c r="Q1" s="121"/>
      <c r="R1" s="121"/>
      <c r="S1" s="4"/>
      <c r="T1" s="4"/>
      <c r="U1" s="4"/>
      <c r="V1" s="4"/>
      <c r="W1" s="4"/>
      <c r="X1" s="4"/>
      <c r="Y1" s="4"/>
      <c r="Z1" s="4"/>
      <c r="AA1" s="4"/>
      <c r="AB1" s="4"/>
      <c r="AC1" s="4"/>
      <c r="AD1" s="4"/>
      <c r="AE1" s="4"/>
      <c r="AF1" s="4"/>
    </row>
    <row r="2" spans="1:32" ht="22.5" customHeight="1" thickTop="1" thickBot="1" x14ac:dyDescent="0.3">
      <c r="A2" s="67"/>
      <c r="B2" s="68" t="str">
        <f>Verzamelstaat!C12</f>
        <v>Tussenevaluatie</v>
      </c>
      <c r="C2" s="68" t="str">
        <f>CONCATENATE("deelcijfer VD: ",Verzamelstaat!D39)</f>
        <v>deelcijfer VD: 0</v>
      </c>
      <c r="D2" s="68" t="str">
        <f>CONCATENATE("deelcijfer PD: ",Verzamelstaat!D40)</f>
        <v>deelcijfer PD: 0</v>
      </c>
      <c r="E2" s="68" t="str">
        <f>CONCATENATE("deelcijfer PR: ",Verzamelstaat!D41)</f>
        <v>deelcijfer PR: 0</v>
      </c>
      <c r="F2" s="69" t="str">
        <f>CONCATENATE("Eindcijfer: ",Verzamelstaat!F43)</f>
        <v>Eindcijfer: 0</v>
      </c>
      <c r="G2" s="90" t="b">
        <f>AND(Rubric!G6:'Rubric'!G15)</f>
        <v>0</v>
      </c>
      <c r="H2" s="13" t="b">
        <f>AND(Rubric!G18:'Rubric'!G26)</f>
        <v>0</v>
      </c>
      <c r="I2" s="119" t="b">
        <f>AND(Rubric!G29:'Rubric'!G35)</f>
        <v>0</v>
      </c>
      <c r="J2" s="119" t="b">
        <f>AND(Verzamelstaat!D38,Verzamelstaat!H32,Verzamelstaat!H33)</f>
        <v>0</v>
      </c>
      <c r="K2" s="119"/>
      <c r="L2" s="119"/>
      <c r="M2" s="119"/>
      <c r="N2" s="15"/>
      <c r="O2" s="15"/>
      <c r="P2" s="119"/>
      <c r="Q2" s="119"/>
      <c r="R2" s="119"/>
      <c r="S2" s="16"/>
      <c r="T2" s="16"/>
      <c r="U2" s="16"/>
      <c r="V2" s="16"/>
      <c r="W2" s="16"/>
      <c r="X2" s="16"/>
      <c r="Y2" s="16"/>
      <c r="Z2" s="16"/>
      <c r="AA2" s="16"/>
      <c r="AB2" s="16"/>
      <c r="AC2" s="16"/>
      <c r="AD2" s="16"/>
      <c r="AE2" s="16"/>
      <c r="AF2" s="16"/>
    </row>
    <row r="3" spans="1:32" ht="29.25" thickTop="1" thickBot="1" x14ac:dyDescent="0.3">
      <c r="A3" s="203" t="s">
        <v>61</v>
      </c>
      <c r="B3" s="204"/>
      <c r="C3" s="204"/>
      <c r="D3" s="204"/>
      <c r="E3" s="204"/>
      <c r="F3" s="205"/>
      <c r="G3" s="91"/>
      <c r="H3" s="1"/>
      <c r="I3" s="3"/>
      <c r="J3" s="3"/>
      <c r="K3" s="3"/>
      <c r="L3" s="3"/>
      <c r="M3" s="3"/>
      <c r="N3" s="3"/>
      <c r="O3" s="3"/>
      <c r="P3" s="3"/>
      <c r="Q3" s="3"/>
      <c r="R3" s="3"/>
      <c r="S3" s="121"/>
      <c r="T3" s="121"/>
      <c r="U3" s="121"/>
      <c r="V3" s="121"/>
      <c r="W3" s="121"/>
      <c r="X3" s="121"/>
      <c r="Y3" s="121"/>
      <c r="Z3" s="121"/>
      <c r="AA3" s="121"/>
      <c r="AB3" s="121"/>
      <c r="AC3" s="121"/>
      <c r="AD3" s="121"/>
      <c r="AE3" s="121"/>
      <c r="AF3" s="4"/>
    </row>
    <row r="4" spans="1:32" ht="18" customHeight="1" thickTop="1" thickBot="1" x14ac:dyDescent="0.3">
      <c r="A4" s="20"/>
      <c r="B4" s="169" t="s">
        <v>217</v>
      </c>
      <c r="C4" s="169"/>
      <c r="D4" s="169"/>
      <c r="E4" s="169"/>
      <c r="F4" s="21"/>
      <c r="G4" s="91"/>
      <c r="H4" s="13" t="b">
        <v>0</v>
      </c>
      <c r="I4" s="119"/>
      <c r="J4" s="119"/>
      <c r="K4" s="119"/>
      <c r="L4" s="119"/>
      <c r="M4" s="119"/>
      <c r="N4" s="15"/>
      <c r="O4" s="15"/>
      <c r="P4" s="119"/>
      <c r="Q4" s="119"/>
      <c r="R4" s="119"/>
      <c r="S4" s="16"/>
      <c r="T4" s="16"/>
      <c r="U4" s="16"/>
      <c r="V4" s="16"/>
      <c r="W4" s="16"/>
      <c r="X4" s="16"/>
      <c r="Y4" s="16"/>
      <c r="Z4" s="16"/>
      <c r="AA4" s="16"/>
      <c r="AB4" s="16"/>
      <c r="AC4" s="16"/>
      <c r="AD4" s="16"/>
      <c r="AE4" s="16"/>
      <c r="AF4" s="16"/>
    </row>
    <row r="5" spans="1:32" s="4" customFormat="1" ht="30.75" customHeight="1" thickTop="1" thickBot="1" x14ac:dyDescent="0.25">
      <c r="A5" s="171" t="s">
        <v>216</v>
      </c>
      <c r="B5" s="172"/>
      <c r="C5" s="172"/>
      <c r="D5" s="172"/>
      <c r="E5" s="172"/>
      <c r="F5" s="173"/>
      <c r="G5" s="91"/>
      <c r="H5" s="1"/>
      <c r="I5" s="3"/>
      <c r="J5" s="3"/>
      <c r="K5" s="3"/>
      <c r="L5" s="3"/>
      <c r="M5" s="3"/>
      <c r="N5" s="3"/>
      <c r="O5" s="3"/>
      <c r="P5" s="3"/>
      <c r="Q5" s="3"/>
      <c r="R5" s="3"/>
      <c r="S5" s="121"/>
      <c r="T5" s="121"/>
      <c r="U5" s="121"/>
      <c r="V5" s="121"/>
      <c r="W5" s="121"/>
      <c r="X5" s="121"/>
      <c r="Y5" s="121"/>
      <c r="Z5" s="121"/>
      <c r="AA5" s="121"/>
      <c r="AB5" s="121"/>
      <c r="AC5" s="121"/>
      <c r="AD5" s="121"/>
      <c r="AE5" s="121"/>
    </row>
    <row r="6" spans="1:32" s="4" customFormat="1" ht="409.5" customHeight="1" thickTop="1" thickBot="1" x14ac:dyDescent="0.25">
      <c r="A6" s="80" t="s">
        <v>218</v>
      </c>
      <c r="B6" s="215"/>
      <c r="C6" s="201"/>
      <c r="D6" s="201"/>
      <c r="E6" s="201"/>
      <c r="F6" s="202"/>
      <c r="G6" s="94"/>
      <c r="H6" s="1"/>
      <c r="I6" s="2"/>
      <c r="J6" s="2"/>
      <c r="K6" s="2"/>
      <c r="L6" s="2"/>
      <c r="M6" s="2"/>
      <c r="N6" s="3"/>
      <c r="O6" s="3"/>
      <c r="P6" s="2"/>
      <c r="Q6" s="2"/>
      <c r="R6" s="2"/>
    </row>
    <row r="7" spans="1:32" ht="15.75" thickTop="1" x14ac:dyDescent="0.25"/>
    <row r="28" spans="8:8" x14ac:dyDescent="0.25">
      <c r="H28" t="b">
        <v>0</v>
      </c>
    </row>
  </sheetData>
  <sheetProtection algorithmName="SHA-512" hashValue="y89Foz5Zzt0kLJ5CvFzsvZqeRA7uwcei6Cgtqbfx3r5ywaiK2ZERW+P7oSpdpKAQWsoB7OxF5o0Gm6GDMJwHuw==" saltValue="2Vv0rWsInWG7Y+ss75JFkQ==" spinCount="100000" sheet="1" selectLockedCells="1"/>
  <mergeCells count="5">
    <mergeCell ref="A5:F5"/>
    <mergeCell ref="B6:F6"/>
    <mergeCell ref="A3:F3"/>
    <mergeCell ref="B4:E4"/>
    <mergeCell ref="A1:F1"/>
  </mergeCells>
  <conditionalFormatting sqref="B4">
    <cfRule type="expression" dxfId="86" priority="12" stopIfTrue="1">
      <formula>H4</formula>
    </cfRule>
  </conditionalFormatting>
  <conditionalFormatting sqref="B4">
    <cfRule type="expression" dxfId="85" priority="11">
      <formula>NOT(H4)</formula>
    </cfRule>
  </conditionalFormatting>
  <conditionalFormatting sqref="C2">
    <cfRule type="expression" dxfId="84" priority="9">
      <formula>G2</formula>
    </cfRule>
    <cfRule type="expression" dxfId="83" priority="10">
      <formula>NOT(G2)</formula>
    </cfRule>
  </conditionalFormatting>
  <conditionalFormatting sqref="D2">
    <cfRule type="expression" dxfId="82" priority="7">
      <formula>H2</formula>
    </cfRule>
    <cfRule type="expression" dxfId="81" priority="8">
      <formula>NOT(H2)</formula>
    </cfRule>
  </conditionalFormatting>
  <conditionalFormatting sqref="E2">
    <cfRule type="expression" dxfId="80" priority="5">
      <formula>I2</formula>
    </cfRule>
    <cfRule type="expression" dxfId="79" priority="6">
      <formula>NOT(I2)</formula>
    </cfRule>
  </conditionalFormatting>
  <conditionalFormatting sqref="A2">
    <cfRule type="expression" dxfId="78" priority="3">
      <formula>NOT(D33)</formula>
    </cfRule>
    <cfRule type="expression" dxfId="77" priority="4">
      <formula>AND(D33)</formula>
    </cfRule>
  </conditionalFormatting>
  <conditionalFormatting sqref="F2">
    <cfRule type="expression" dxfId="76" priority="1" stopIfTrue="1">
      <formula>J2</formula>
    </cfRule>
    <cfRule type="expression" dxfId="75" priority="2">
      <formula>NOT(J2)</formula>
    </cfRule>
  </conditionalFormatting>
  <pageMargins left="0.7" right="0.7" top="0.75" bottom="0.75" header="0.3" footer="0.3"/>
  <pageSetup paperSize="9" scale="80" orientation="landscape" r:id="rId1"/>
  <drawing r:id="rId2"/>
  <legacyDrawing r:id="rId3"/>
  <oleObjects>
    <mc:AlternateContent xmlns:mc="http://schemas.openxmlformats.org/markup-compatibility/2006">
      <mc:Choice Requires="x14">
        <oleObject progId="Word.Document.12" shapeId="4098" r:id="rId4">
          <objectPr locked="0" defaultSize="0" r:id="rId5">
            <anchor moveWithCells="1">
              <from>
                <xdr:col>1</xdr:col>
                <xdr:colOff>19050</xdr:colOff>
                <xdr:row>5</xdr:row>
                <xdr:rowOff>19050</xdr:rowOff>
              </from>
              <to>
                <xdr:col>5</xdr:col>
                <xdr:colOff>1800225</xdr:colOff>
                <xdr:row>5</xdr:row>
                <xdr:rowOff>5143500</xdr:rowOff>
              </to>
            </anchor>
          </objectPr>
        </oleObject>
      </mc:Choice>
      <mc:Fallback>
        <oleObject progId="Word.Document.12" shapeId="4098" r:id="rId4"/>
      </mc:Fallback>
    </mc:AlternateContent>
  </oleObjects>
  <mc:AlternateContent xmlns:mc="http://schemas.openxmlformats.org/markup-compatibility/2006">
    <mc:Choice Requires="x14">
      <controls>
        <mc:AlternateContent xmlns:mc="http://schemas.openxmlformats.org/markup-compatibility/2006">
          <mc:Choice Requires="x14">
            <control shapeId="4100" r:id="rId6" name="Check Box 4">
              <controlPr locked="0" defaultSize="0" autoFill="0" autoLine="0" autoPict="0">
                <anchor moveWithCells="1">
                  <from>
                    <xdr:col>0</xdr:col>
                    <xdr:colOff>542925</xdr:colOff>
                    <xdr:row>3</xdr:row>
                    <xdr:rowOff>9525</xdr:rowOff>
                  </from>
                  <to>
                    <xdr:col>0</xdr:col>
                    <xdr:colOff>742950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N164"/>
  <sheetViews>
    <sheetView zoomScale="85" zoomScaleNormal="85" workbookViewId="0">
      <pane ySplit="3" topLeftCell="A4" activePane="bottomLeft" state="frozen"/>
      <selection pane="bottomLeft" activeCell="B6" sqref="B6"/>
    </sheetView>
  </sheetViews>
  <sheetFormatPr defaultColWidth="9.140625" defaultRowHeight="14.25" x14ac:dyDescent="0.2"/>
  <cols>
    <col min="1" max="1" width="17.42578125" style="4" customWidth="1"/>
    <col min="2" max="2" width="26.85546875" style="4" customWidth="1"/>
    <col min="3" max="3" width="27.28515625" style="4" customWidth="1"/>
    <col min="4" max="5" width="27" style="4" customWidth="1"/>
    <col min="6" max="6" width="27.42578125" style="4" customWidth="1"/>
    <col min="7" max="7" width="11.7109375" style="4" hidden="1" customWidth="1"/>
    <col min="8" max="8" width="9.140625" style="1" hidden="1" customWidth="1"/>
    <col min="9" max="9" width="12.5703125" style="2" hidden="1" customWidth="1"/>
    <col min="10" max="10" width="10" style="2" hidden="1" customWidth="1"/>
    <col min="11" max="11" width="11.140625" style="2" hidden="1" customWidth="1"/>
    <col min="12" max="12" width="9.140625" style="2" hidden="1" customWidth="1"/>
    <col min="13" max="13" width="12.5703125" style="2" hidden="1" customWidth="1"/>
    <col min="14" max="15" width="12.5703125" style="3" hidden="1" customWidth="1"/>
    <col min="16" max="16" width="9.85546875" style="2" hidden="1" customWidth="1"/>
    <col min="17" max="17" width="9.140625" style="2" hidden="1" customWidth="1"/>
    <col min="18" max="18" width="10.42578125" style="2" hidden="1" customWidth="1"/>
    <col min="19" max="31" width="9.5703125" style="4" hidden="1" customWidth="1"/>
    <col min="32" max="32" width="2.7109375" style="4" customWidth="1"/>
    <col min="33" max="16384" width="9.140625" style="4"/>
  </cols>
  <sheetData>
    <row r="1" spans="1:40" ht="57" customHeight="1" thickTop="1" thickBot="1" x14ac:dyDescent="0.25">
      <c r="A1" s="188" t="s">
        <v>253</v>
      </c>
      <c r="B1" s="189"/>
      <c r="C1" s="189"/>
      <c r="D1" s="189"/>
      <c r="E1" s="189"/>
      <c r="F1" s="190"/>
      <c r="G1" s="89"/>
    </row>
    <row r="2" spans="1:40" s="16" customFormat="1" ht="22.5" customHeight="1" thickTop="1" thickBot="1" x14ac:dyDescent="0.3">
      <c r="A2" s="67"/>
      <c r="B2" s="68" t="str">
        <f>Verzamelstaat!C12</f>
        <v>Tussenevaluatie</v>
      </c>
      <c r="C2" s="68" t="str">
        <f>CONCATENATE("deelcijfer VD: ",Verzamelstaat!D39)</f>
        <v>deelcijfer VD: 0</v>
      </c>
      <c r="D2" s="68" t="str">
        <f>CONCATENATE("deelcijfer PD: ",Verzamelstaat!D40)</f>
        <v>deelcijfer PD: 0</v>
      </c>
      <c r="E2" s="68" t="str">
        <f>CONCATENATE("deelcijfer PR: ",Verzamelstaat!D41)</f>
        <v>deelcijfer PR: 0</v>
      </c>
      <c r="F2" s="69" t="str">
        <f>CONCATENATE("Eindcijfer: ",Verzamelstaat!F43)</f>
        <v>Eindcijfer: 0</v>
      </c>
      <c r="G2" s="90" t="b">
        <f>Verzamelstaat!D38</f>
        <v>0</v>
      </c>
      <c r="H2" s="133" t="b">
        <f>AND(G6:G15)</f>
        <v>0</v>
      </c>
      <c r="I2" s="14" t="b">
        <f>AND(G18:G26)</f>
        <v>0</v>
      </c>
      <c r="J2" s="14" t="b">
        <f>AND(G29:G35)</f>
        <v>0</v>
      </c>
      <c r="K2" s="14" t="b">
        <f>AND(Verzamelstaat!D38,Verzamelstaat!H32,Verzamelstaat!H33)</f>
        <v>0</v>
      </c>
      <c r="L2" s="14"/>
      <c r="M2" s="14"/>
      <c r="N2" s="15"/>
      <c r="O2" s="15"/>
      <c r="P2" s="14"/>
      <c r="Q2" s="14"/>
      <c r="R2" s="14"/>
    </row>
    <row r="3" spans="1:40" s="12" customFormat="1" ht="27" customHeight="1" thickTop="1" thickBot="1" x14ac:dyDescent="0.3">
      <c r="A3" s="5"/>
      <c r="B3" s="6" t="s">
        <v>10</v>
      </c>
      <c r="C3" s="6" t="s">
        <v>11</v>
      </c>
      <c r="D3" s="6" t="s">
        <v>12</v>
      </c>
      <c r="E3" s="6" t="s">
        <v>0</v>
      </c>
      <c r="F3" s="7" t="s">
        <v>1</v>
      </c>
      <c r="G3" s="91">
        <f>Verzamelstaat!H12</f>
        <v>1</v>
      </c>
      <c r="H3" s="8"/>
      <c r="I3" s="9" t="s">
        <v>10</v>
      </c>
      <c r="J3" s="9" t="s">
        <v>11</v>
      </c>
      <c r="K3" s="9" t="s">
        <v>12</v>
      </c>
      <c r="L3" s="9" t="s">
        <v>0</v>
      </c>
      <c r="M3" s="9" t="s">
        <v>1</v>
      </c>
      <c r="N3" s="10" t="s">
        <v>5</v>
      </c>
      <c r="O3" s="10" t="s">
        <v>173</v>
      </c>
      <c r="P3" s="11" t="s">
        <v>174</v>
      </c>
      <c r="Q3" s="11" t="s">
        <v>175</v>
      </c>
      <c r="R3" s="11" t="s">
        <v>176</v>
      </c>
      <c r="S3" s="11" t="s">
        <v>178</v>
      </c>
      <c r="T3" s="11" t="s">
        <v>3</v>
      </c>
      <c r="U3" s="11" t="s">
        <v>207</v>
      </c>
      <c r="V3" s="11" t="s">
        <v>208</v>
      </c>
      <c r="W3" s="11" t="s">
        <v>209</v>
      </c>
      <c r="X3" s="11" t="s">
        <v>210</v>
      </c>
      <c r="Y3" s="11" t="s">
        <v>211</v>
      </c>
      <c r="Z3" s="11" t="s">
        <v>212</v>
      </c>
      <c r="AA3" s="11" t="s">
        <v>213</v>
      </c>
      <c r="AB3" s="11" t="s">
        <v>214</v>
      </c>
      <c r="AC3" s="11" t="s">
        <v>215</v>
      </c>
      <c r="AD3" s="11" t="s">
        <v>182</v>
      </c>
      <c r="AE3" s="11" t="s">
        <v>184</v>
      </c>
    </row>
    <row r="4" spans="1:40" ht="27.75" customHeight="1" thickTop="1" thickBot="1" x14ac:dyDescent="0.25">
      <c r="A4" s="185" t="s">
        <v>13</v>
      </c>
      <c r="B4" s="186"/>
      <c r="C4" s="186"/>
      <c r="D4" s="186"/>
      <c r="E4" s="186"/>
      <c r="F4" s="187"/>
      <c r="G4" s="92"/>
      <c r="H4" s="134" t="s">
        <v>3</v>
      </c>
    </row>
    <row r="5" spans="1:40" s="30" customFormat="1" ht="21.75" customHeight="1" thickTop="1" thickBot="1" x14ac:dyDescent="0.3">
      <c r="A5" s="22"/>
      <c r="B5" s="23" t="s">
        <v>10</v>
      </c>
      <c r="C5" s="23" t="s">
        <v>11</v>
      </c>
      <c r="D5" s="23" t="s">
        <v>12</v>
      </c>
      <c r="E5" s="24" t="s">
        <v>0</v>
      </c>
      <c r="F5" s="25" t="s">
        <v>1</v>
      </c>
      <c r="G5" s="92"/>
      <c r="H5" s="26"/>
      <c r="I5" s="27" t="s">
        <v>10</v>
      </c>
      <c r="J5" s="27" t="s">
        <v>11</v>
      </c>
      <c r="K5" s="27" t="s">
        <v>12</v>
      </c>
      <c r="L5" s="27" t="s">
        <v>0</v>
      </c>
      <c r="M5" s="27" t="s">
        <v>1</v>
      </c>
      <c r="N5" s="28" t="s">
        <v>5</v>
      </c>
      <c r="O5" s="10" t="s">
        <v>177</v>
      </c>
      <c r="P5" s="29" t="s">
        <v>174</v>
      </c>
      <c r="Q5" s="29" t="s">
        <v>175</v>
      </c>
      <c r="R5" s="29" t="s">
        <v>70</v>
      </c>
      <c r="S5" s="27" t="s">
        <v>178</v>
      </c>
      <c r="T5" s="27" t="s">
        <v>3</v>
      </c>
      <c r="U5" s="27" t="s">
        <v>207</v>
      </c>
      <c r="V5" s="27" t="s">
        <v>208</v>
      </c>
      <c r="W5" s="27" t="s">
        <v>209</v>
      </c>
      <c r="X5" s="27" t="s">
        <v>183</v>
      </c>
      <c r="Y5" s="27" t="s">
        <v>211</v>
      </c>
      <c r="Z5" s="27" t="s">
        <v>206</v>
      </c>
      <c r="AA5" s="27" t="s">
        <v>213</v>
      </c>
      <c r="AB5" s="27" t="s">
        <v>214</v>
      </c>
      <c r="AC5" s="27" t="s">
        <v>215</v>
      </c>
      <c r="AD5" s="27" t="s">
        <v>182</v>
      </c>
      <c r="AE5" s="27" t="s">
        <v>184</v>
      </c>
      <c r="AF5" s="27"/>
      <c r="AG5" s="27"/>
      <c r="AH5" s="27"/>
      <c r="AI5" s="29"/>
      <c r="AJ5" s="29"/>
      <c r="AK5" s="29"/>
      <c r="AL5" s="29"/>
      <c r="AM5" s="29"/>
      <c r="AN5" s="29"/>
    </row>
    <row r="6" spans="1:40" ht="74.25" customHeight="1" thickBot="1" x14ac:dyDescent="0.25">
      <c r="A6" s="31" t="s">
        <v>14</v>
      </c>
      <c r="B6" s="32" t="s">
        <v>15</v>
      </c>
      <c r="C6" s="32" t="s">
        <v>16</v>
      </c>
      <c r="D6" s="32" t="s">
        <v>17</v>
      </c>
      <c r="E6" s="33" t="s">
        <v>18</v>
      </c>
      <c r="F6" s="34" t="s">
        <v>226</v>
      </c>
      <c r="G6" s="92" t="b">
        <f t="shared" ref="G6:G13" si="0">IF(H6&gt;0,TRUE,FALSE)</f>
        <v>0</v>
      </c>
      <c r="H6" s="1">
        <v>0</v>
      </c>
      <c r="I6" s="2">
        <f t="shared" ref="I6:I15" si="1">IF(H6=1,1,0)+IF(H6=2,0.5,0)</f>
        <v>0</v>
      </c>
      <c r="J6" s="2">
        <f t="shared" ref="J6:J15" si="2">IF(H6=3,1,0)+IF(OR(H6=2,H6=4),0.5,0)</f>
        <v>0</v>
      </c>
      <c r="K6" s="2">
        <f t="shared" ref="K6:K15" si="3">IF(H6=5,1,0)+IF(OR(H6=4,H6=6),0.5,0)</f>
        <v>0</v>
      </c>
      <c r="L6" s="2">
        <f t="shared" ref="L6:L15" si="4">IF(H6=7,1,0)+IF(OR(H6=6,H6=8),0.5,0)</f>
        <v>0</v>
      </c>
      <c r="M6" s="2">
        <f t="shared" ref="M6:M15" si="5">IF(H6=9,1,0)+IF(H6=8,0.5,0)</f>
        <v>0</v>
      </c>
      <c r="N6" s="2">
        <f t="shared" ref="N6:N16" si="6">SUM(I6:M6)</f>
        <v>0</v>
      </c>
      <c r="O6" s="81">
        <f>I6</f>
        <v>0</v>
      </c>
      <c r="P6" s="2">
        <f>IF(AND(H6&lt;3,H6&gt;0),1,0)</f>
        <v>0</v>
      </c>
      <c r="Q6" s="2">
        <f>IF(AND(H6&lt;5,H6&gt;0),1,0)</f>
        <v>0</v>
      </c>
      <c r="R6" s="2">
        <f>IF(AND(H6&lt;7,H6&gt;0),1,0)</f>
        <v>0</v>
      </c>
      <c r="S6" s="4">
        <f>IF(H6&gt;0,COUNTBLANK(F6),0)</f>
        <v>0</v>
      </c>
    </row>
    <row r="7" spans="1:40" ht="72" customHeight="1" thickBot="1" x14ac:dyDescent="0.25">
      <c r="A7" s="35" t="s">
        <v>19</v>
      </c>
      <c r="B7" s="32" t="s">
        <v>20</v>
      </c>
      <c r="C7" s="32" t="s">
        <v>21</v>
      </c>
      <c r="D7" s="32" t="s">
        <v>22</v>
      </c>
      <c r="E7" s="33" t="s">
        <v>23</v>
      </c>
      <c r="F7" s="34" t="s">
        <v>227</v>
      </c>
      <c r="G7" s="92" t="b">
        <f t="shared" si="0"/>
        <v>0</v>
      </c>
      <c r="H7" s="36">
        <v>0</v>
      </c>
      <c r="I7" s="2">
        <f t="shared" si="1"/>
        <v>0</v>
      </c>
      <c r="J7" s="2">
        <f t="shared" si="2"/>
        <v>0</v>
      </c>
      <c r="K7" s="2">
        <f t="shared" si="3"/>
        <v>0</v>
      </c>
      <c r="L7" s="2">
        <f t="shared" si="4"/>
        <v>0</v>
      </c>
      <c r="M7" s="2">
        <f t="shared" si="5"/>
        <v>0</v>
      </c>
      <c r="N7" s="2">
        <f t="shared" si="6"/>
        <v>0</v>
      </c>
      <c r="O7" s="81">
        <f>I7</f>
        <v>0</v>
      </c>
      <c r="P7" s="128">
        <f t="shared" ref="P7:P14" si="7">IF(AND(H7&lt;3,H7&gt;0),1,0)</f>
        <v>0</v>
      </c>
      <c r="Q7" s="128">
        <f t="shared" ref="Q7:Q14" si="8">IF(AND(H7&lt;5,H7&gt;0),1,0)</f>
        <v>0</v>
      </c>
      <c r="R7" s="128">
        <f>IF(AND(H7&lt;7,H7&gt;0),1,0)</f>
        <v>0</v>
      </c>
      <c r="S7" s="4">
        <f t="shared" ref="S7:S15" si="9">IF(H7&gt;0,COUNTBLANK(F7),0)</f>
        <v>0</v>
      </c>
    </row>
    <row r="8" spans="1:40" ht="66" customHeight="1" thickBot="1" x14ac:dyDescent="0.25">
      <c r="A8" s="35" t="s">
        <v>24</v>
      </c>
      <c r="B8" s="37" t="s">
        <v>25</v>
      </c>
      <c r="C8" s="37" t="s">
        <v>26</v>
      </c>
      <c r="D8" s="37" t="s">
        <v>27</v>
      </c>
      <c r="E8" s="38" t="s">
        <v>28</v>
      </c>
      <c r="F8" s="34" t="s">
        <v>29</v>
      </c>
      <c r="G8" s="92" t="b">
        <f t="shared" si="0"/>
        <v>0</v>
      </c>
      <c r="H8" s="1">
        <v>0</v>
      </c>
      <c r="I8" s="2">
        <f t="shared" si="1"/>
        <v>0</v>
      </c>
      <c r="J8" s="2">
        <f t="shared" si="2"/>
        <v>0</v>
      </c>
      <c r="K8" s="2">
        <f t="shared" si="3"/>
        <v>0</v>
      </c>
      <c r="L8" s="2">
        <f t="shared" si="4"/>
        <v>0</v>
      </c>
      <c r="M8" s="2">
        <f t="shared" si="5"/>
        <v>0</v>
      </c>
      <c r="N8" s="2">
        <f t="shared" si="6"/>
        <v>0</v>
      </c>
      <c r="O8" s="81"/>
      <c r="P8" s="128"/>
      <c r="Q8" s="128"/>
      <c r="S8" s="4">
        <f t="shared" si="9"/>
        <v>0</v>
      </c>
    </row>
    <row r="9" spans="1:40" ht="69" customHeight="1" thickBot="1" x14ac:dyDescent="0.25">
      <c r="A9" s="35" t="s">
        <v>30</v>
      </c>
      <c r="B9" s="37" t="s">
        <v>31</v>
      </c>
      <c r="C9" s="37" t="s">
        <v>228</v>
      </c>
      <c r="D9" s="37" t="s">
        <v>32</v>
      </c>
      <c r="E9" s="38" t="s">
        <v>33</v>
      </c>
      <c r="F9" s="34" t="s">
        <v>34</v>
      </c>
      <c r="G9" s="92" t="b">
        <f t="shared" si="0"/>
        <v>0</v>
      </c>
      <c r="H9" s="1">
        <v>0</v>
      </c>
      <c r="I9" s="2">
        <f t="shared" si="1"/>
        <v>0</v>
      </c>
      <c r="J9" s="2">
        <f t="shared" si="2"/>
        <v>0</v>
      </c>
      <c r="K9" s="2">
        <f t="shared" si="3"/>
        <v>0</v>
      </c>
      <c r="L9" s="2">
        <f t="shared" si="4"/>
        <v>0</v>
      </c>
      <c r="M9" s="2">
        <f t="shared" si="5"/>
        <v>0</v>
      </c>
      <c r="N9" s="2">
        <f t="shared" si="6"/>
        <v>0</v>
      </c>
      <c r="O9" s="81"/>
      <c r="P9" s="128"/>
      <c r="Q9" s="128"/>
      <c r="S9" s="4">
        <f t="shared" si="9"/>
        <v>0</v>
      </c>
    </row>
    <row r="10" spans="1:40" ht="86.25" customHeight="1" thickBot="1" x14ac:dyDescent="0.25">
      <c r="A10" s="35" t="s">
        <v>35</v>
      </c>
      <c r="B10" s="82" t="s">
        <v>36</v>
      </c>
      <c r="C10" s="37" t="s">
        <v>37</v>
      </c>
      <c r="D10" s="32" t="s">
        <v>38</v>
      </c>
      <c r="E10" s="33" t="s">
        <v>229</v>
      </c>
      <c r="F10" s="34" t="s">
        <v>230</v>
      </c>
      <c r="G10" s="92" t="b">
        <f t="shared" si="0"/>
        <v>0</v>
      </c>
      <c r="H10" s="1">
        <v>0</v>
      </c>
      <c r="I10" s="2">
        <f t="shared" si="1"/>
        <v>0</v>
      </c>
      <c r="J10" s="2">
        <f t="shared" si="2"/>
        <v>0</v>
      </c>
      <c r="K10" s="2">
        <f t="shared" si="3"/>
        <v>0</v>
      </c>
      <c r="L10" s="2">
        <f t="shared" si="4"/>
        <v>0</v>
      </c>
      <c r="M10" s="2">
        <f t="shared" si="5"/>
        <v>0</v>
      </c>
      <c r="N10" s="2">
        <f t="shared" si="6"/>
        <v>0</v>
      </c>
      <c r="O10" s="81"/>
      <c r="P10" s="128">
        <f t="shared" si="7"/>
        <v>0</v>
      </c>
      <c r="Q10" s="128">
        <f t="shared" si="8"/>
        <v>0</v>
      </c>
      <c r="R10" s="128">
        <f>IF(AND(H10&lt;7,H10&gt;0),1,0)</f>
        <v>0</v>
      </c>
      <c r="S10" s="4">
        <f t="shared" si="9"/>
        <v>0</v>
      </c>
    </row>
    <row r="11" spans="1:40" ht="78" customHeight="1" thickBot="1" x14ac:dyDescent="0.25">
      <c r="A11" s="39" t="s">
        <v>39</v>
      </c>
      <c r="B11" s="82" t="s">
        <v>40</v>
      </c>
      <c r="C11" s="37" t="s">
        <v>240</v>
      </c>
      <c r="D11" s="37" t="s">
        <v>241</v>
      </c>
      <c r="E11" s="38" t="s">
        <v>242</v>
      </c>
      <c r="F11" s="34" t="s">
        <v>243</v>
      </c>
      <c r="G11" s="92" t="b">
        <f t="shared" si="0"/>
        <v>0</v>
      </c>
      <c r="H11" s="36">
        <v>0</v>
      </c>
      <c r="I11" s="2">
        <f t="shared" si="1"/>
        <v>0</v>
      </c>
      <c r="J11" s="2">
        <f t="shared" si="2"/>
        <v>0</v>
      </c>
      <c r="K11" s="2">
        <f t="shared" si="3"/>
        <v>0</v>
      </c>
      <c r="L11" s="2">
        <f t="shared" si="4"/>
        <v>0</v>
      </c>
      <c r="M11" s="2">
        <f t="shared" si="5"/>
        <v>0</v>
      </c>
      <c r="N11" s="2">
        <f t="shared" si="6"/>
        <v>0</v>
      </c>
      <c r="O11" s="81"/>
      <c r="P11" s="128"/>
      <c r="Q11" s="128"/>
      <c r="S11" s="4">
        <f t="shared" si="9"/>
        <v>0</v>
      </c>
    </row>
    <row r="12" spans="1:40" ht="81.75" customHeight="1" thickBot="1" x14ac:dyDescent="0.25">
      <c r="A12" s="39" t="s">
        <v>41</v>
      </c>
      <c r="B12" s="82" t="s">
        <v>238</v>
      </c>
      <c r="C12" s="37" t="s">
        <v>42</v>
      </c>
      <c r="D12" s="37" t="s">
        <v>43</v>
      </c>
      <c r="E12" s="38" t="s">
        <v>231</v>
      </c>
      <c r="F12" s="34" t="s">
        <v>44</v>
      </c>
      <c r="G12" s="92" t="b">
        <f t="shared" si="0"/>
        <v>0</v>
      </c>
      <c r="H12" s="1">
        <v>0</v>
      </c>
      <c r="I12" s="2">
        <f t="shared" si="1"/>
        <v>0</v>
      </c>
      <c r="J12" s="2">
        <f t="shared" si="2"/>
        <v>0</v>
      </c>
      <c r="K12" s="2">
        <f t="shared" si="3"/>
        <v>0</v>
      </c>
      <c r="L12" s="2">
        <f t="shared" si="4"/>
        <v>0</v>
      </c>
      <c r="M12" s="2">
        <f t="shared" si="5"/>
        <v>0</v>
      </c>
      <c r="N12" s="2">
        <f t="shared" si="6"/>
        <v>0</v>
      </c>
      <c r="O12" s="81"/>
      <c r="P12" s="128"/>
      <c r="Q12" s="128"/>
      <c r="S12" s="4">
        <f t="shared" si="9"/>
        <v>0</v>
      </c>
    </row>
    <row r="13" spans="1:40" ht="64.5" customHeight="1" thickBot="1" x14ac:dyDescent="0.25">
      <c r="A13" s="35" t="s">
        <v>45</v>
      </c>
      <c r="B13" s="32" t="s">
        <v>46</v>
      </c>
      <c r="C13" s="32" t="s">
        <v>47</v>
      </c>
      <c r="D13" s="32" t="s">
        <v>48</v>
      </c>
      <c r="E13" s="33" t="s">
        <v>49</v>
      </c>
      <c r="F13" s="34" t="s">
        <v>50</v>
      </c>
      <c r="G13" s="92" t="b">
        <f t="shared" si="0"/>
        <v>0</v>
      </c>
      <c r="H13" s="1">
        <v>0</v>
      </c>
      <c r="I13" s="2">
        <f t="shared" si="1"/>
        <v>0</v>
      </c>
      <c r="J13" s="2">
        <f t="shared" si="2"/>
        <v>0</v>
      </c>
      <c r="K13" s="2">
        <f t="shared" si="3"/>
        <v>0</v>
      </c>
      <c r="L13" s="2">
        <f t="shared" si="4"/>
        <v>0</v>
      </c>
      <c r="M13" s="2">
        <f t="shared" si="5"/>
        <v>0</v>
      </c>
      <c r="N13" s="2">
        <f t="shared" si="6"/>
        <v>0</v>
      </c>
      <c r="O13" s="81">
        <f>I13</f>
        <v>0</v>
      </c>
      <c r="P13" s="128">
        <f t="shared" si="7"/>
        <v>0</v>
      </c>
      <c r="Q13" s="128">
        <f t="shared" si="8"/>
        <v>0</v>
      </c>
      <c r="R13" s="128">
        <f>IF(AND(H13&lt;7,H13&gt;0),1,0)</f>
        <v>0</v>
      </c>
      <c r="S13" s="4">
        <f t="shared" si="9"/>
        <v>0</v>
      </c>
    </row>
    <row r="14" spans="1:40" ht="110.25" customHeight="1" thickBot="1" x14ac:dyDescent="0.25">
      <c r="A14" s="39" t="s">
        <v>51</v>
      </c>
      <c r="B14" s="37" t="s">
        <v>52</v>
      </c>
      <c r="C14" s="32" t="s">
        <v>53</v>
      </c>
      <c r="D14" s="32" t="s">
        <v>252</v>
      </c>
      <c r="E14" s="33" t="s">
        <v>54</v>
      </c>
      <c r="F14" s="34"/>
      <c r="G14" s="92" t="b">
        <v>1</v>
      </c>
      <c r="H14" s="1">
        <v>0</v>
      </c>
      <c r="I14" s="2">
        <f t="shared" si="1"/>
        <v>0</v>
      </c>
      <c r="J14" s="2">
        <f t="shared" si="2"/>
        <v>0</v>
      </c>
      <c r="K14" s="2">
        <f t="shared" si="3"/>
        <v>0</v>
      </c>
      <c r="L14" s="2">
        <f t="shared" si="4"/>
        <v>0</v>
      </c>
      <c r="M14" s="2">
        <f t="shared" si="5"/>
        <v>0</v>
      </c>
      <c r="N14" s="2">
        <f t="shared" si="6"/>
        <v>0</v>
      </c>
      <c r="O14" s="81"/>
      <c r="P14" s="132">
        <f t="shared" si="7"/>
        <v>0</v>
      </c>
      <c r="Q14" s="128">
        <f t="shared" si="8"/>
        <v>0</v>
      </c>
      <c r="R14" s="81">
        <f>IF(AND(H14&lt;7,H14&gt;0),1,0)</f>
        <v>0</v>
      </c>
      <c r="S14" s="4">
        <f t="shared" si="9"/>
        <v>0</v>
      </c>
    </row>
    <row r="15" spans="1:40" ht="78.75" customHeight="1" thickBot="1" x14ac:dyDescent="0.25">
      <c r="A15" s="31" t="s">
        <v>55</v>
      </c>
      <c r="B15" s="37" t="s">
        <v>56</v>
      </c>
      <c r="C15" s="37" t="s">
        <v>57</v>
      </c>
      <c r="D15" s="37" t="s">
        <v>58</v>
      </c>
      <c r="E15" s="38" t="s">
        <v>59</v>
      </c>
      <c r="F15" s="34" t="s">
        <v>60</v>
      </c>
      <c r="G15" s="92" t="b">
        <f>IF(H15&gt;0,TRUE,FALSE)</f>
        <v>0</v>
      </c>
      <c r="H15" s="1">
        <v>0</v>
      </c>
      <c r="I15" s="2">
        <f t="shared" si="1"/>
        <v>0</v>
      </c>
      <c r="J15" s="2">
        <f t="shared" si="2"/>
        <v>0</v>
      </c>
      <c r="K15" s="2">
        <f t="shared" si="3"/>
        <v>0</v>
      </c>
      <c r="L15" s="2">
        <f t="shared" si="4"/>
        <v>0</v>
      </c>
      <c r="M15" s="2">
        <f t="shared" si="5"/>
        <v>0</v>
      </c>
      <c r="N15" s="2">
        <f t="shared" si="6"/>
        <v>0</v>
      </c>
      <c r="O15" s="81"/>
      <c r="P15" s="128"/>
      <c r="Q15" s="128"/>
      <c r="S15" s="4">
        <f t="shared" si="9"/>
        <v>0</v>
      </c>
      <c r="AA15" s="4">
        <f>-(($W16-0)/($V16-$U16)^2)*($T16-$V16)^2+$W16</f>
        <v>0</v>
      </c>
      <c r="AB15" s="4">
        <f>(($Y16-$W16)/($X16-$V16)^2)*($T16-$V16)^2+$W16</f>
        <v>7</v>
      </c>
      <c r="AC15" s="4" t="e">
        <f>-((9.75-$Y16)/($Z16-$X16)^2)*($T16-$Z16)^2+9.75</f>
        <v>#DIV/0!</v>
      </c>
      <c r="AE15" s="115"/>
    </row>
    <row r="16" spans="1:40" ht="27.75" customHeight="1" thickTop="1" thickBot="1" x14ac:dyDescent="0.25">
      <c r="A16" s="171" t="s">
        <v>75</v>
      </c>
      <c r="B16" s="206"/>
      <c r="C16" s="206"/>
      <c r="D16" s="206"/>
      <c r="E16" s="206"/>
      <c r="F16" s="207"/>
      <c r="G16" s="92"/>
      <c r="H16" s="134">
        <f t="shared" ref="H16:M16" si="10">SUM(H6:H15)</f>
        <v>0</v>
      </c>
      <c r="I16" s="2">
        <f t="shared" si="10"/>
        <v>0</v>
      </c>
      <c r="J16" s="2">
        <f t="shared" si="10"/>
        <v>0</v>
      </c>
      <c r="K16" s="2">
        <f t="shared" si="10"/>
        <v>0</v>
      </c>
      <c r="L16" s="2">
        <f t="shared" si="10"/>
        <v>0</v>
      </c>
      <c r="M16" s="2">
        <f t="shared" si="10"/>
        <v>0</v>
      </c>
      <c r="N16" s="2">
        <f t="shared" si="6"/>
        <v>0</v>
      </c>
      <c r="O16" s="81">
        <f>SUM(O6:O15)</f>
        <v>0</v>
      </c>
      <c r="P16" s="2">
        <f>SUM(P6:P15)</f>
        <v>0</v>
      </c>
      <c r="Q16" s="2">
        <f>SUM(Q6:Q15)</f>
        <v>0</v>
      </c>
      <c r="R16" s="2">
        <f>SUM(R6:R15)</f>
        <v>0</v>
      </c>
      <c r="S16" s="81">
        <f>SUM(S6:S15)</f>
        <v>0</v>
      </c>
      <c r="T16" s="112">
        <f>H16</f>
        <v>0</v>
      </c>
      <c r="U16" s="112">
        <f>N16</f>
        <v>0</v>
      </c>
      <c r="V16" s="112">
        <f>X16-6</f>
        <v>-6</v>
      </c>
      <c r="W16" s="112">
        <v>5.75</v>
      </c>
      <c r="X16" s="112">
        <f>N16*(Verzamelstaat!$H$12*2+1)</f>
        <v>0</v>
      </c>
      <c r="Y16" s="112">
        <v>7</v>
      </c>
      <c r="Z16" s="112">
        <f>(N16-S16)*9+S16*7</f>
        <v>0</v>
      </c>
      <c r="AA16" s="112">
        <f>(W16/(V16-U16))*(T16 -U16)</f>
        <v>0</v>
      </c>
      <c r="AB16" s="112">
        <f>((Y16-W16)/(X16-V16))*(T16 -V16)+W16</f>
        <v>7</v>
      </c>
      <c r="AC16" s="112" t="e">
        <f>((9.75-Y16)/(Z16-X16))*(T16 -X16)+Y16</f>
        <v>#DIV/0!</v>
      </c>
      <c r="AD16" s="112">
        <f>IF(H16&lt;=V16,AA15,IF(H16&lt;=X16,AB16,AC15))</f>
        <v>7</v>
      </c>
      <c r="AE16" s="140">
        <f>ROUND(AD16,2)</f>
        <v>7</v>
      </c>
    </row>
    <row r="17" spans="1:31" s="30" customFormat="1" ht="22.5" customHeight="1" thickTop="1" thickBot="1" x14ac:dyDescent="0.3">
      <c r="A17" s="22"/>
      <c r="B17" s="23" t="s">
        <v>10</v>
      </c>
      <c r="C17" s="23" t="s">
        <v>11</v>
      </c>
      <c r="D17" s="23" t="s">
        <v>12</v>
      </c>
      <c r="E17" s="24" t="s">
        <v>0</v>
      </c>
      <c r="F17" s="25" t="s">
        <v>1</v>
      </c>
      <c r="G17" s="92"/>
      <c r="H17" s="26"/>
      <c r="I17" s="27" t="s">
        <v>10</v>
      </c>
      <c r="J17" s="27" t="s">
        <v>11</v>
      </c>
      <c r="K17" s="27" t="s">
        <v>12</v>
      </c>
      <c r="L17" s="27" t="s">
        <v>0</v>
      </c>
      <c r="M17" s="27" t="s">
        <v>1</v>
      </c>
      <c r="N17" s="28" t="s">
        <v>5</v>
      </c>
      <c r="O17" s="10" t="s">
        <v>173</v>
      </c>
      <c r="P17" s="11" t="s">
        <v>174</v>
      </c>
      <c r="Q17" s="11" t="s">
        <v>175</v>
      </c>
      <c r="R17" s="11" t="s">
        <v>176</v>
      </c>
      <c r="S17" s="29" t="s">
        <v>178</v>
      </c>
      <c r="T17" s="29" t="s">
        <v>3</v>
      </c>
      <c r="U17" s="11" t="s">
        <v>207</v>
      </c>
      <c r="V17" s="11" t="s">
        <v>208</v>
      </c>
      <c r="W17" s="11" t="s">
        <v>209</v>
      </c>
      <c r="X17" s="11" t="s">
        <v>210</v>
      </c>
      <c r="Y17" s="11" t="s">
        <v>211</v>
      </c>
      <c r="Z17" s="11" t="s">
        <v>212</v>
      </c>
      <c r="AA17" s="11" t="s">
        <v>213</v>
      </c>
      <c r="AB17" s="11" t="s">
        <v>214</v>
      </c>
      <c r="AC17" s="11" t="s">
        <v>215</v>
      </c>
      <c r="AD17" s="11" t="s">
        <v>182</v>
      </c>
      <c r="AE17" s="11" t="s">
        <v>184</v>
      </c>
    </row>
    <row r="18" spans="1:31" ht="80.25" customHeight="1" thickBot="1" x14ac:dyDescent="0.25">
      <c r="A18" s="31" t="s">
        <v>76</v>
      </c>
      <c r="B18" s="32" t="s">
        <v>77</v>
      </c>
      <c r="C18" s="32" t="s">
        <v>78</v>
      </c>
      <c r="D18" s="32" t="s">
        <v>94</v>
      </c>
      <c r="E18" s="33" t="s">
        <v>232</v>
      </c>
      <c r="F18" s="34" t="s">
        <v>233</v>
      </c>
      <c r="G18" s="92" t="b">
        <f t="shared" ref="G18:G26" si="11">IF(H18&gt;0,TRUE,FALSE)</f>
        <v>0</v>
      </c>
      <c r="H18" s="1">
        <v>0</v>
      </c>
      <c r="I18" s="3">
        <f t="shared" ref="I18:I26" si="12">IF(H18=1,1,0)+IF(H18=2,0.5,0)</f>
        <v>0</v>
      </c>
      <c r="J18" s="3">
        <f t="shared" ref="J18:J26" si="13">IF(H18=3,1,0)+IF(OR(H18=2,H18=4),0.5,0)</f>
        <v>0</v>
      </c>
      <c r="K18" s="3">
        <f t="shared" ref="K18:K26" si="14">IF(H18=5,1,0)+IF(OR(H18=4,H18=6),0.5,0)</f>
        <v>0</v>
      </c>
      <c r="L18" s="3">
        <f t="shared" ref="L18:L26" si="15">IF(H18=7,1,0)+IF(OR(H18=6,H18=8),0.5,0)</f>
        <v>0</v>
      </c>
      <c r="M18" s="3">
        <f t="shared" ref="M18:M26" si="16">IF(H18=9,1,0)+IF(H18=8,0.5,0)</f>
        <v>0</v>
      </c>
      <c r="N18" s="3">
        <f t="shared" ref="N18:N27" si="17">SUM(I18:M18)</f>
        <v>0</v>
      </c>
      <c r="O18" s="81">
        <f>I18</f>
        <v>0</v>
      </c>
      <c r="P18" s="128">
        <f t="shared" ref="P18:P24" si="18">IF(AND(H18&lt;3,H18&gt;0),1,0)</f>
        <v>0</v>
      </c>
      <c r="Q18" s="128">
        <f>IF(AND(H18&lt;5,H18&gt;0),1,0)</f>
        <v>0</v>
      </c>
      <c r="R18" s="128">
        <f>IF(AND(H18&lt;7,H18&gt;0),1,0)</f>
        <v>0</v>
      </c>
      <c r="S18" s="4">
        <f t="shared" ref="S18:S26" si="19">IF(H18&gt;0,COUNTBLANK(F18),0)</f>
        <v>0</v>
      </c>
    </row>
    <row r="19" spans="1:31" ht="89.25" customHeight="1" thickBot="1" x14ac:dyDescent="0.25">
      <c r="A19" s="35" t="s">
        <v>79</v>
      </c>
      <c r="B19" s="42" t="s">
        <v>220</v>
      </c>
      <c r="C19" s="37" t="s">
        <v>221</v>
      </c>
      <c r="D19" s="37" t="s">
        <v>222</v>
      </c>
      <c r="E19" s="38" t="s">
        <v>244</v>
      </c>
      <c r="F19" s="34" t="s">
        <v>223</v>
      </c>
      <c r="G19" s="92" t="b">
        <f t="shared" si="11"/>
        <v>0</v>
      </c>
      <c r="H19" s="36">
        <v>0</v>
      </c>
      <c r="I19" s="3">
        <f t="shared" si="12"/>
        <v>0</v>
      </c>
      <c r="J19" s="2">
        <f t="shared" si="13"/>
        <v>0</v>
      </c>
      <c r="K19" s="2">
        <f t="shared" si="14"/>
        <v>0</v>
      </c>
      <c r="L19" s="2">
        <f t="shared" si="15"/>
        <v>0</v>
      </c>
      <c r="M19" s="2">
        <f t="shared" si="16"/>
        <v>0</v>
      </c>
      <c r="N19" s="3">
        <f t="shared" si="17"/>
        <v>0</v>
      </c>
      <c r="O19" s="81"/>
      <c r="P19" s="128"/>
      <c r="S19" s="4">
        <f t="shared" si="19"/>
        <v>0</v>
      </c>
    </row>
    <row r="20" spans="1:31" ht="66" customHeight="1" thickBot="1" x14ac:dyDescent="0.25">
      <c r="A20" s="41" t="s">
        <v>80</v>
      </c>
      <c r="B20" s="42" t="s">
        <v>87</v>
      </c>
      <c r="C20" s="37" t="s">
        <v>88</v>
      </c>
      <c r="D20" s="37" t="s">
        <v>245</v>
      </c>
      <c r="E20" s="38" t="s">
        <v>246</v>
      </c>
      <c r="F20" s="34" t="s">
        <v>89</v>
      </c>
      <c r="G20" s="92" t="b">
        <f t="shared" si="11"/>
        <v>0</v>
      </c>
      <c r="H20" s="1">
        <v>0</v>
      </c>
      <c r="I20" s="3">
        <f t="shared" si="12"/>
        <v>0</v>
      </c>
      <c r="J20" s="2">
        <f t="shared" si="13"/>
        <v>0</v>
      </c>
      <c r="K20" s="2">
        <f t="shared" si="14"/>
        <v>0</v>
      </c>
      <c r="L20" s="2">
        <f t="shared" si="15"/>
        <v>0</v>
      </c>
      <c r="M20" s="2">
        <f t="shared" si="16"/>
        <v>0</v>
      </c>
      <c r="N20" s="3">
        <f t="shared" si="17"/>
        <v>0</v>
      </c>
      <c r="O20" s="81"/>
      <c r="P20" s="128"/>
      <c r="S20" s="4">
        <f t="shared" si="19"/>
        <v>0</v>
      </c>
    </row>
    <row r="21" spans="1:31" ht="54.75" customHeight="1" thickBot="1" x14ac:dyDescent="0.25">
      <c r="A21" s="35" t="s">
        <v>81</v>
      </c>
      <c r="B21" s="42" t="s">
        <v>90</v>
      </c>
      <c r="C21" s="42" t="s">
        <v>91</v>
      </c>
      <c r="D21" s="32" t="s">
        <v>92</v>
      </c>
      <c r="E21" s="33" t="s">
        <v>234</v>
      </c>
      <c r="F21" s="34" t="s">
        <v>93</v>
      </c>
      <c r="G21" s="92" t="b">
        <f t="shared" si="11"/>
        <v>0</v>
      </c>
      <c r="H21" s="1">
        <v>0</v>
      </c>
      <c r="I21" s="3">
        <f t="shared" si="12"/>
        <v>0</v>
      </c>
      <c r="J21" s="2">
        <f t="shared" si="13"/>
        <v>0</v>
      </c>
      <c r="K21" s="2">
        <f t="shared" si="14"/>
        <v>0</v>
      </c>
      <c r="L21" s="2">
        <f t="shared" si="15"/>
        <v>0</v>
      </c>
      <c r="M21" s="2">
        <f t="shared" si="16"/>
        <v>0</v>
      </c>
      <c r="N21" s="3">
        <f t="shared" si="17"/>
        <v>0</v>
      </c>
      <c r="O21" s="81"/>
      <c r="P21" s="128">
        <f t="shared" si="18"/>
        <v>0</v>
      </c>
      <c r="Q21" s="128">
        <f>IF(AND(H21&lt;5,H21&gt;0),1,0)</f>
        <v>0</v>
      </c>
      <c r="R21" s="128">
        <f>IF(AND(H21&lt;7,H21&gt;0),1,0)</f>
        <v>0</v>
      </c>
      <c r="S21" s="4">
        <f t="shared" si="19"/>
        <v>0</v>
      </c>
    </row>
    <row r="22" spans="1:31" ht="76.5" customHeight="1" thickBot="1" x14ac:dyDescent="0.25">
      <c r="A22" s="41" t="s">
        <v>82</v>
      </c>
      <c r="B22" s="42" t="s">
        <v>95</v>
      </c>
      <c r="C22" s="37" t="s">
        <v>96</v>
      </c>
      <c r="D22" s="32" t="s">
        <v>97</v>
      </c>
      <c r="E22" s="33" t="s">
        <v>247</v>
      </c>
      <c r="F22" s="34" t="s">
        <v>98</v>
      </c>
      <c r="G22" s="92" t="b">
        <f t="shared" si="11"/>
        <v>0</v>
      </c>
      <c r="H22" s="1">
        <v>0</v>
      </c>
      <c r="I22" s="3">
        <f t="shared" si="12"/>
        <v>0</v>
      </c>
      <c r="J22" s="2">
        <f t="shared" si="13"/>
        <v>0</v>
      </c>
      <c r="K22" s="2">
        <f t="shared" si="14"/>
        <v>0</v>
      </c>
      <c r="L22" s="2">
        <f t="shared" si="15"/>
        <v>0</v>
      </c>
      <c r="M22" s="2">
        <f t="shared" si="16"/>
        <v>0</v>
      </c>
      <c r="N22" s="3">
        <f t="shared" si="17"/>
        <v>0</v>
      </c>
      <c r="O22" s="81"/>
      <c r="P22" s="128">
        <f t="shared" si="18"/>
        <v>0</v>
      </c>
      <c r="Q22" s="128">
        <f>IF(AND(H22&lt;5,H22&gt;0),1,0)</f>
        <v>0</v>
      </c>
      <c r="R22" s="128">
        <f>IF(AND(H22&lt;7,H22&gt;0),1,0)</f>
        <v>0</v>
      </c>
      <c r="S22" s="4">
        <f t="shared" si="19"/>
        <v>0</v>
      </c>
    </row>
    <row r="23" spans="1:31" ht="78" customHeight="1" thickBot="1" x14ac:dyDescent="0.25">
      <c r="A23" s="35" t="s">
        <v>83</v>
      </c>
      <c r="B23" s="40" t="s">
        <v>99</v>
      </c>
      <c r="C23" s="37" t="s">
        <v>100</v>
      </c>
      <c r="D23" s="37" t="s">
        <v>101</v>
      </c>
      <c r="E23" s="38" t="s">
        <v>102</v>
      </c>
      <c r="F23" s="34" t="s">
        <v>103</v>
      </c>
      <c r="G23" s="92" t="b">
        <f t="shared" si="11"/>
        <v>0</v>
      </c>
      <c r="H23" s="36">
        <v>0</v>
      </c>
      <c r="I23" s="3">
        <f t="shared" si="12"/>
        <v>0</v>
      </c>
      <c r="J23" s="2">
        <f t="shared" si="13"/>
        <v>0</v>
      </c>
      <c r="K23" s="2">
        <f t="shared" si="14"/>
        <v>0</v>
      </c>
      <c r="L23" s="2">
        <f t="shared" si="15"/>
        <v>0</v>
      </c>
      <c r="M23" s="2">
        <f t="shared" si="16"/>
        <v>0</v>
      </c>
      <c r="N23" s="3">
        <f t="shared" si="17"/>
        <v>0</v>
      </c>
      <c r="P23" s="128"/>
      <c r="S23" s="4">
        <f t="shared" si="19"/>
        <v>0</v>
      </c>
    </row>
    <row r="24" spans="1:31" ht="81.75" customHeight="1" thickBot="1" x14ac:dyDescent="0.25">
      <c r="A24" s="107" t="s">
        <v>84</v>
      </c>
      <c r="B24" s="108" t="s">
        <v>104</v>
      </c>
      <c r="C24" s="108" t="s">
        <v>105</v>
      </c>
      <c r="D24" s="108" t="s">
        <v>249</v>
      </c>
      <c r="E24" s="109" t="s">
        <v>248</v>
      </c>
      <c r="F24" s="110" t="s">
        <v>106</v>
      </c>
      <c r="G24" s="92" t="b">
        <f t="shared" si="11"/>
        <v>0</v>
      </c>
      <c r="H24" s="1">
        <v>0</v>
      </c>
      <c r="I24" s="3">
        <f t="shared" si="12"/>
        <v>0</v>
      </c>
      <c r="J24" s="2">
        <f t="shared" si="13"/>
        <v>0</v>
      </c>
      <c r="K24" s="2">
        <f t="shared" si="14"/>
        <v>0</v>
      </c>
      <c r="L24" s="2">
        <f t="shared" si="15"/>
        <v>0</v>
      </c>
      <c r="M24" s="2">
        <f t="shared" si="16"/>
        <v>0</v>
      </c>
      <c r="N24" s="3">
        <f t="shared" si="17"/>
        <v>0</v>
      </c>
      <c r="O24" s="81">
        <f>I24</f>
        <v>0</v>
      </c>
      <c r="P24" s="128">
        <f t="shared" si="18"/>
        <v>0</v>
      </c>
      <c r="Q24" s="128">
        <f>IF(AND(H24&lt;5,H24&gt;0),1,0)</f>
        <v>0</v>
      </c>
      <c r="R24" s="128">
        <f>IF(AND(H24&lt;7,H24&gt;0),1,0)</f>
        <v>0</v>
      </c>
      <c r="S24" s="4">
        <f t="shared" si="19"/>
        <v>0</v>
      </c>
    </row>
    <row r="25" spans="1:31" ht="77.25" customHeight="1" thickTop="1" thickBot="1" x14ac:dyDescent="0.25">
      <c r="A25" s="35" t="s">
        <v>85</v>
      </c>
      <c r="B25" s="104" t="s">
        <v>107</v>
      </c>
      <c r="C25" s="104" t="s">
        <v>108</v>
      </c>
      <c r="D25" s="104" t="s">
        <v>109</v>
      </c>
      <c r="E25" s="105" t="s">
        <v>250</v>
      </c>
      <c r="F25" s="106" t="s">
        <v>251</v>
      </c>
      <c r="G25" s="92" t="b">
        <f t="shared" si="11"/>
        <v>0</v>
      </c>
      <c r="H25" s="1">
        <v>0</v>
      </c>
      <c r="I25" s="3">
        <f t="shared" si="12"/>
        <v>0</v>
      </c>
      <c r="J25" s="2">
        <f t="shared" si="13"/>
        <v>0</v>
      </c>
      <c r="K25" s="2">
        <f t="shared" si="14"/>
        <v>0</v>
      </c>
      <c r="L25" s="2">
        <f t="shared" si="15"/>
        <v>0</v>
      </c>
      <c r="M25" s="2">
        <f t="shared" si="16"/>
        <v>0</v>
      </c>
      <c r="N25" s="3">
        <f t="shared" si="17"/>
        <v>0</v>
      </c>
      <c r="O25" s="81"/>
      <c r="P25" s="128"/>
      <c r="S25" s="4">
        <f t="shared" si="19"/>
        <v>0</v>
      </c>
    </row>
    <row r="26" spans="1:31" ht="77.25" customHeight="1" thickBot="1" x14ac:dyDescent="0.25">
      <c r="A26" s="35" t="s">
        <v>86</v>
      </c>
      <c r="B26" s="42" t="s">
        <v>239</v>
      </c>
      <c r="C26" s="37" t="s">
        <v>110</v>
      </c>
      <c r="D26" s="42" t="s">
        <v>111</v>
      </c>
      <c r="E26" s="43" t="s">
        <v>112</v>
      </c>
      <c r="F26" s="34" t="s">
        <v>113</v>
      </c>
      <c r="G26" s="92" t="b">
        <f t="shared" si="11"/>
        <v>0</v>
      </c>
      <c r="H26" s="1">
        <v>0</v>
      </c>
      <c r="I26" s="3">
        <f t="shared" si="12"/>
        <v>0</v>
      </c>
      <c r="J26" s="2">
        <f t="shared" si="13"/>
        <v>0</v>
      </c>
      <c r="K26" s="2">
        <f t="shared" si="14"/>
        <v>0</v>
      </c>
      <c r="L26" s="2">
        <f t="shared" si="15"/>
        <v>0</v>
      </c>
      <c r="M26" s="2">
        <f t="shared" si="16"/>
        <v>0</v>
      </c>
      <c r="N26" s="3">
        <f t="shared" si="17"/>
        <v>0</v>
      </c>
      <c r="O26" s="81"/>
      <c r="P26" s="128"/>
      <c r="S26" s="4">
        <f t="shared" si="19"/>
        <v>0</v>
      </c>
      <c r="AA26" s="4">
        <f>-(($W27-0)/($V27-$U27)^2)*($T27-$V27)^2+$W27</f>
        <v>0</v>
      </c>
      <c r="AB26" s="4">
        <f>(($Y27-$W27)/($X27-$V27)^2)*($T27-$V27)^2+$W27</f>
        <v>7</v>
      </c>
      <c r="AC26" s="4" t="e">
        <f>-((9.75-$Y27)/($Z27-$X27)^2)*($T27-$Z27)^2+9.75</f>
        <v>#DIV/0!</v>
      </c>
      <c r="AE26" s="115"/>
    </row>
    <row r="27" spans="1:31" ht="27.75" customHeight="1" thickTop="1" thickBot="1" x14ac:dyDescent="0.25">
      <c r="A27" s="171" t="s">
        <v>117</v>
      </c>
      <c r="B27" s="206"/>
      <c r="C27" s="206"/>
      <c r="D27" s="206"/>
      <c r="E27" s="206"/>
      <c r="F27" s="207"/>
      <c r="G27" s="92"/>
      <c r="H27" s="134">
        <f t="shared" ref="H27:M27" si="20">SUM(H18:H26)</f>
        <v>0</v>
      </c>
      <c r="I27" s="3">
        <f t="shared" si="20"/>
        <v>0</v>
      </c>
      <c r="J27" s="3">
        <f t="shared" si="20"/>
        <v>0</v>
      </c>
      <c r="K27" s="3">
        <f t="shared" si="20"/>
        <v>0</v>
      </c>
      <c r="L27" s="3">
        <f t="shared" si="20"/>
        <v>0</v>
      </c>
      <c r="M27" s="3">
        <f t="shared" si="20"/>
        <v>0</v>
      </c>
      <c r="N27" s="3">
        <f t="shared" si="17"/>
        <v>0</v>
      </c>
      <c r="O27" s="3">
        <f>SUM(O18:O26)</f>
        <v>0</v>
      </c>
      <c r="P27" s="3">
        <f>SUM(P18:P26)</f>
        <v>0</v>
      </c>
      <c r="Q27" s="3">
        <f>SUM(Q18:Q26)</f>
        <v>0</v>
      </c>
      <c r="R27" s="3">
        <f>SUM(R18:R26)</f>
        <v>0</v>
      </c>
      <c r="S27" s="81">
        <f>SUM(S18:S26)</f>
        <v>0</v>
      </c>
      <c r="T27" s="112">
        <f>H27</f>
        <v>0</v>
      </c>
      <c r="U27" s="112">
        <f>N27</f>
        <v>0</v>
      </c>
      <c r="V27" s="112">
        <f>X27-6</f>
        <v>-6</v>
      </c>
      <c r="W27" s="112">
        <v>5.75</v>
      </c>
      <c r="X27" s="121">
        <f>N27*(Verzamelstaat!$H$12*2+1)</f>
        <v>0</v>
      </c>
      <c r="Y27" s="112">
        <v>7</v>
      </c>
      <c r="Z27" s="112">
        <f>(N27-S27)*9+S27*7</f>
        <v>0</v>
      </c>
      <c r="AA27" s="112">
        <f>(W27/(V27-U27))*(T27 -U27)</f>
        <v>0</v>
      </c>
      <c r="AB27" s="112">
        <f>((Y27-W27)/(X27-V27))*(T27 -V27)+W27</f>
        <v>7</v>
      </c>
      <c r="AC27" s="112" t="e">
        <f>((9.75-Y27)/(Z27-X27))*(T27 -X27)+Y27</f>
        <v>#DIV/0!</v>
      </c>
      <c r="AD27" s="121">
        <f>IF(H27&lt;=V27,AA26,IF(H27&lt;=X27,AB27,AC26))</f>
        <v>7</v>
      </c>
      <c r="AE27" s="112">
        <f>ROUND(AD27,2)</f>
        <v>7</v>
      </c>
    </row>
    <row r="28" spans="1:31" s="30" customFormat="1" ht="21.75" customHeight="1" thickTop="1" thickBot="1" x14ac:dyDescent="0.3">
      <c r="A28" s="22"/>
      <c r="B28" s="23" t="s">
        <v>10</v>
      </c>
      <c r="C28" s="23" t="s">
        <v>11</v>
      </c>
      <c r="D28" s="23" t="s">
        <v>12</v>
      </c>
      <c r="E28" s="24" t="s">
        <v>0</v>
      </c>
      <c r="F28" s="25" t="s">
        <v>1</v>
      </c>
      <c r="G28" s="92"/>
      <c r="H28" s="26"/>
      <c r="I28" s="27" t="s">
        <v>10</v>
      </c>
      <c r="J28" s="27" t="s">
        <v>11</v>
      </c>
      <c r="K28" s="27" t="s">
        <v>12</v>
      </c>
      <c r="L28" s="27" t="s">
        <v>0</v>
      </c>
      <c r="M28" s="27" t="s">
        <v>1</v>
      </c>
      <c r="N28" s="28" t="s">
        <v>5</v>
      </c>
      <c r="O28" s="28"/>
      <c r="P28" s="29" t="s">
        <v>66</v>
      </c>
      <c r="Q28" s="29" t="s">
        <v>67</v>
      </c>
      <c r="R28" s="29" t="s">
        <v>70</v>
      </c>
      <c r="S28" s="29" t="s">
        <v>178</v>
      </c>
      <c r="T28" s="29"/>
      <c r="U28" s="11" t="s">
        <v>207</v>
      </c>
      <c r="V28" s="11" t="s">
        <v>208</v>
      </c>
      <c r="W28" s="11" t="s">
        <v>209</v>
      </c>
      <c r="X28" s="11" t="s">
        <v>210</v>
      </c>
      <c r="Y28" s="11" t="s">
        <v>211</v>
      </c>
      <c r="Z28" s="11" t="s">
        <v>212</v>
      </c>
      <c r="AA28" s="11" t="s">
        <v>213</v>
      </c>
      <c r="AB28" s="11" t="s">
        <v>214</v>
      </c>
      <c r="AC28" s="11" t="s">
        <v>215</v>
      </c>
      <c r="AD28" s="11" t="s">
        <v>182</v>
      </c>
      <c r="AE28" s="11" t="s">
        <v>184</v>
      </c>
    </row>
    <row r="29" spans="1:31" ht="81.75" customHeight="1" thickBot="1" x14ac:dyDescent="0.25">
      <c r="A29" s="31" t="s">
        <v>118</v>
      </c>
      <c r="B29" s="42" t="s">
        <v>125</v>
      </c>
      <c r="C29" s="42" t="s">
        <v>132</v>
      </c>
      <c r="D29" s="42" t="s">
        <v>133</v>
      </c>
      <c r="E29" s="43" t="s">
        <v>134</v>
      </c>
      <c r="F29" s="34"/>
      <c r="G29" s="92" t="b">
        <f t="shared" ref="G29:G35" si="21">IF(H29&gt;0,TRUE,FALSE)</f>
        <v>0</v>
      </c>
      <c r="H29" s="1">
        <v>0</v>
      </c>
      <c r="I29" s="3">
        <f t="shared" ref="I29:I35" si="22">IF(H29=1,1,0)+IF(H29=2,0.5,0)</f>
        <v>0</v>
      </c>
      <c r="J29" s="2">
        <f t="shared" ref="J29:J35" si="23">IF(H29=3,1,0)+IF(OR(H29=2,H29=4),0.5,0)</f>
        <v>0</v>
      </c>
      <c r="K29" s="2">
        <f t="shared" ref="K29:K35" si="24">IF(H29=5,1,0)+IF(OR(H29=4,H29=6),0.5,0)</f>
        <v>0</v>
      </c>
      <c r="L29" s="2">
        <f t="shared" ref="L29:L35" si="25">IF(H29=7,1,0)+IF(OR(H29=6,H29=8),0.5,0)</f>
        <v>0</v>
      </c>
      <c r="M29" s="2">
        <f t="shared" ref="M29:M35" si="26">IF(H29=9,1,0)+IF(H29=8,0.5,0)</f>
        <v>0</v>
      </c>
      <c r="N29" s="3">
        <f t="shared" ref="N29:N36" si="27">SUM(I29:M29)</f>
        <v>0</v>
      </c>
      <c r="O29" s="87"/>
      <c r="S29" s="4">
        <f t="shared" ref="S29:S35" si="28">IF(H29&gt;0,COUNTBLANK(F29),0)</f>
        <v>0</v>
      </c>
    </row>
    <row r="30" spans="1:31" ht="114.75" customHeight="1" thickBot="1" x14ac:dyDescent="0.25">
      <c r="A30" s="35" t="s">
        <v>119</v>
      </c>
      <c r="B30" s="32" t="s">
        <v>126</v>
      </c>
      <c r="C30" s="32" t="s">
        <v>135</v>
      </c>
      <c r="D30" s="32" t="s">
        <v>136</v>
      </c>
      <c r="E30" s="33" t="s">
        <v>137</v>
      </c>
      <c r="F30" s="34" t="s">
        <v>138</v>
      </c>
      <c r="G30" s="92" t="b">
        <f t="shared" si="21"/>
        <v>0</v>
      </c>
      <c r="H30" s="36">
        <v>0</v>
      </c>
      <c r="I30" s="3">
        <f t="shared" si="22"/>
        <v>0</v>
      </c>
      <c r="J30" s="2">
        <f t="shared" si="23"/>
        <v>0</v>
      </c>
      <c r="K30" s="2">
        <f t="shared" si="24"/>
        <v>0</v>
      </c>
      <c r="L30" s="2">
        <f t="shared" si="25"/>
        <v>0</v>
      </c>
      <c r="M30" s="2">
        <f t="shared" si="26"/>
        <v>0</v>
      </c>
      <c r="N30" s="3">
        <f t="shared" si="27"/>
        <v>0</v>
      </c>
      <c r="O30" s="81">
        <f>I30</f>
        <v>0</v>
      </c>
      <c r="P30" s="128">
        <f>IF(AND(H30&lt;3,H30&gt;0),1,0)</f>
        <v>0</v>
      </c>
      <c r="Q30" s="128">
        <f>IF(AND(H30&lt;5,H30&gt;0),1,0)</f>
        <v>0</v>
      </c>
      <c r="R30" s="128">
        <f>IF(AND(H30&lt;7,H30&gt;0),1,0)</f>
        <v>0</v>
      </c>
      <c r="S30" s="4">
        <f t="shared" si="28"/>
        <v>0</v>
      </c>
    </row>
    <row r="31" spans="1:31" ht="109.5" customHeight="1" thickBot="1" x14ac:dyDescent="0.25">
      <c r="A31" s="35" t="s">
        <v>120</v>
      </c>
      <c r="B31" s="42" t="s">
        <v>127</v>
      </c>
      <c r="C31" s="37" t="s">
        <v>139</v>
      </c>
      <c r="D31" s="37" t="s">
        <v>140</v>
      </c>
      <c r="E31" s="38" t="s">
        <v>141</v>
      </c>
      <c r="F31" s="34" t="s">
        <v>142</v>
      </c>
      <c r="G31" s="92" t="b">
        <f t="shared" si="21"/>
        <v>0</v>
      </c>
      <c r="H31" s="1">
        <v>0</v>
      </c>
      <c r="I31" s="3">
        <f t="shared" si="22"/>
        <v>0</v>
      </c>
      <c r="J31" s="2">
        <f t="shared" si="23"/>
        <v>0</v>
      </c>
      <c r="K31" s="2">
        <f t="shared" si="24"/>
        <v>0</v>
      </c>
      <c r="L31" s="2">
        <f t="shared" si="25"/>
        <v>0</v>
      </c>
      <c r="M31" s="2">
        <f t="shared" si="26"/>
        <v>0</v>
      </c>
      <c r="N31" s="3">
        <f t="shared" si="27"/>
        <v>0</v>
      </c>
      <c r="O31" s="81"/>
      <c r="S31" s="4">
        <f t="shared" si="28"/>
        <v>0</v>
      </c>
    </row>
    <row r="32" spans="1:31" ht="121.5" customHeight="1" thickBot="1" x14ac:dyDescent="0.25">
      <c r="A32" s="35" t="s">
        <v>121</v>
      </c>
      <c r="B32" s="32" t="s">
        <v>128</v>
      </c>
      <c r="C32" s="32" t="s">
        <v>143</v>
      </c>
      <c r="D32" s="32" t="s">
        <v>144</v>
      </c>
      <c r="E32" s="33" t="s">
        <v>145</v>
      </c>
      <c r="F32" s="34" t="s">
        <v>146</v>
      </c>
      <c r="G32" s="92" t="b">
        <f t="shared" si="21"/>
        <v>0</v>
      </c>
      <c r="H32" s="1">
        <v>0</v>
      </c>
      <c r="I32" s="3">
        <f t="shared" si="22"/>
        <v>0</v>
      </c>
      <c r="J32" s="2">
        <f t="shared" si="23"/>
        <v>0</v>
      </c>
      <c r="K32" s="2">
        <f t="shared" si="24"/>
        <v>0</v>
      </c>
      <c r="L32" s="2">
        <f t="shared" si="25"/>
        <v>0</v>
      </c>
      <c r="M32" s="2">
        <f t="shared" si="26"/>
        <v>0</v>
      </c>
      <c r="N32" s="3">
        <f t="shared" si="27"/>
        <v>0</v>
      </c>
      <c r="O32" s="81">
        <f>I32</f>
        <v>0</v>
      </c>
      <c r="P32" s="128">
        <f>IF(AND(H32&lt;3,H32&gt;0),1,0)</f>
        <v>0</v>
      </c>
      <c r="Q32" s="128">
        <f>IF(AND(H32&lt;5,H32&gt;0),1,0)</f>
        <v>0</v>
      </c>
      <c r="R32" s="128">
        <f>IF(AND(H32&lt;7,H32&gt;0),1,0)</f>
        <v>0</v>
      </c>
      <c r="S32" s="4">
        <f t="shared" si="28"/>
        <v>0</v>
      </c>
    </row>
    <row r="33" spans="1:31" ht="86.25" customHeight="1" thickBot="1" x14ac:dyDescent="0.25">
      <c r="A33" s="35" t="s">
        <v>122</v>
      </c>
      <c r="B33" s="42" t="s">
        <v>129</v>
      </c>
      <c r="C33" s="37" t="s">
        <v>147</v>
      </c>
      <c r="D33" s="32" t="s">
        <v>148</v>
      </c>
      <c r="E33" s="33" t="s">
        <v>149</v>
      </c>
      <c r="F33" s="34"/>
      <c r="G33" s="92" t="b">
        <f t="shared" si="21"/>
        <v>0</v>
      </c>
      <c r="H33" s="1">
        <v>0</v>
      </c>
      <c r="I33" s="3">
        <f t="shared" si="22"/>
        <v>0</v>
      </c>
      <c r="J33" s="2">
        <f t="shared" si="23"/>
        <v>0</v>
      </c>
      <c r="K33" s="2">
        <f t="shared" si="24"/>
        <v>0</v>
      </c>
      <c r="L33" s="2">
        <f t="shared" si="25"/>
        <v>0</v>
      </c>
      <c r="M33" s="2">
        <f t="shared" si="26"/>
        <v>0</v>
      </c>
      <c r="N33" s="3">
        <f t="shared" si="27"/>
        <v>0</v>
      </c>
      <c r="O33" s="81"/>
      <c r="Q33" s="128">
        <f>IF(AND(H33&lt;5,H33&gt;0),1,0)</f>
        <v>0</v>
      </c>
      <c r="R33" s="128">
        <f>IF(AND(H33&lt;7,H33&gt;0),1,0)</f>
        <v>0</v>
      </c>
      <c r="S33" s="4">
        <f t="shared" si="28"/>
        <v>0</v>
      </c>
    </row>
    <row r="34" spans="1:31" ht="60" customHeight="1" thickBot="1" x14ac:dyDescent="0.25">
      <c r="A34" s="35" t="s">
        <v>123</v>
      </c>
      <c r="B34" s="40" t="s">
        <v>130</v>
      </c>
      <c r="C34" s="37" t="s">
        <v>150</v>
      </c>
      <c r="D34" s="37" t="s">
        <v>151</v>
      </c>
      <c r="E34" s="38" t="s">
        <v>152</v>
      </c>
      <c r="F34" s="34" t="s">
        <v>153</v>
      </c>
      <c r="G34" s="92" t="b">
        <f t="shared" si="21"/>
        <v>0</v>
      </c>
      <c r="H34" s="36">
        <v>0</v>
      </c>
      <c r="I34" s="3">
        <f t="shared" si="22"/>
        <v>0</v>
      </c>
      <c r="J34" s="2">
        <f t="shared" si="23"/>
        <v>0</v>
      </c>
      <c r="K34" s="2">
        <f t="shared" si="24"/>
        <v>0</v>
      </c>
      <c r="L34" s="2">
        <f t="shared" si="25"/>
        <v>0</v>
      </c>
      <c r="M34" s="2">
        <f t="shared" si="26"/>
        <v>0</v>
      </c>
      <c r="N34" s="3">
        <f t="shared" si="27"/>
        <v>0</v>
      </c>
      <c r="O34" s="81"/>
      <c r="P34" s="81"/>
      <c r="Q34" s="81"/>
      <c r="R34" s="81"/>
      <c r="S34" s="4">
        <f t="shared" si="28"/>
        <v>0</v>
      </c>
    </row>
    <row r="35" spans="1:31" ht="81.75" customHeight="1" thickBot="1" x14ac:dyDescent="0.25">
      <c r="A35" s="96" t="s">
        <v>124</v>
      </c>
      <c r="B35" s="97" t="s">
        <v>131</v>
      </c>
      <c r="C35" s="97" t="s">
        <v>154</v>
      </c>
      <c r="D35" s="97" t="s">
        <v>155</v>
      </c>
      <c r="E35" s="98" t="s">
        <v>156</v>
      </c>
      <c r="F35" s="99" t="s">
        <v>157</v>
      </c>
      <c r="G35" s="92" t="b">
        <f t="shared" si="21"/>
        <v>0</v>
      </c>
      <c r="H35" s="1">
        <v>0</v>
      </c>
      <c r="I35" s="3">
        <f t="shared" si="22"/>
        <v>0</v>
      </c>
      <c r="J35" s="2">
        <f t="shared" si="23"/>
        <v>0</v>
      </c>
      <c r="K35" s="2">
        <f t="shared" si="24"/>
        <v>0</v>
      </c>
      <c r="L35" s="2">
        <f t="shared" si="25"/>
        <v>0</v>
      </c>
      <c r="M35" s="2">
        <f t="shared" si="26"/>
        <v>0</v>
      </c>
      <c r="N35" s="3">
        <f t="shared" si="27"/>
        <v>0</v>
      </c>
      <c r="O35" s="81">
        <f>I35</f>
        <v>0</v>
      </c>
      <c r="P35" s="128">
        <f>IF(AND(H35&lt;3,H35&gt;0),1,0)</f>
        <v>0</v>
      </c>
      <c r="Q35" s="128">
        <f>IF(AND(H35&lt;5,H35&gt;0),1,0)</f>
        <v>0</v>
      </c>
      <c r="R35" s="128">
        <f>IF(AND(H35&lt;7,H35&gt;0),1,0)</f>
        <v>0</v>
      </c>
      <c r="S35" s="4">
        <f t="shared" si="28"/>
        <v>0</v>
      </c>
      <c r="AA35" s="4">
        <f>-(($W36-0)/($V36-$U36)^2)*($T36-$V36)^2+$W36</f>
        <v>0</v>
      </c>
      <c r="AB35" s="4">
        <f>(($Y36-$W36)/($X36-$V36)^2)*($T36-$V36)^2+$W36</f>
        <v>7</v>
      </c>
      <c r="AC35" s="4" t="e">
        <f>-((9.75-$Y36)/($Z36-$X36)^2)*($T36-$Z36)^2+9.75</f>
        <v>#DIV/0!</v>
      </c>
      <c r="AE35" s="121"/>
    </row>
    <row r="36" spans="1:31" ht="30.75" customHeight="1" thickTop="1" x14ac:dyDescent="0.2">
      <c r="G36" s="92"/>
      <c r="H36" s="1">
        <f t="shared" ref="H36:M36" si="29">SUM(H29:H35)</f>
        <v>0</v>
      </c>
      <c r="I36" s="1">
        <f t="shared" si="29"/>
        <v>0</v>
      </c>
      <c r="J36" s="1">
        <f t="shared" si="29"/>
        <v>0</v>
      </c>
      <c r="K36" s="1">
        <f t="shared" si="29"/>
        <v>0</v>
      </c>
      <c r="L36" s="1">
        <f t="shared" si="29"/>
        <v>0</v>
      </c>
      <c r="M36" s="1">
        <f t="shared" si="29"/>
        <v>0</v>
      </c>
      <c r="N36" s="3">
        <f t="shared" si="27"/>
        <v>0</v>
      </c>
      <c r="O36" s="3">
        <f>SUM(O29:O35)</f>
        <v>0</v>
      </c>
      <c r="P36" s="3">
        <f>SUM(P29:P35)</f>
        <v>0</v>
      </c>
      <c r="Q36" s="3">
        <f>SUM(Q29:Q35)</f>
        <v>0</v>
      </c>
      <c r="R36" s="3">
        <f>SUM(R29:R35)</f>
        <v>0</v>
      </c>
      <c r="S36" s="121">
        <f>SUM(S29:S35)</f>
        <v>0</v>
      </c>
      <c r="T36" s="121">
        <f>H36</f>
        <v>0</v>
      </c>
      <c r="U36" s="121">
        <f>N36</f>
        <v>0</v>
      </c>
      <c r="V36" s="121">
        <f>X36-6</f>
        <v>-6</v>
      </c>
      <c r="W36" s="121">
        <v>5.75</v>
      </c>
      <c r="X36" s="121">
        <f>N36*(Verzamelstaat!$H$12*2+1)</f>
        <v>0</v>
      </c>
      <c r="Y36" s="121">
        <v>7</v>
      </c>
      <c r="Z36" s="121">
        <f>(N36-S36)*9+S36*7</f>
        <v>0</v>
      </c>
      <c r="AA36" s="121">
        <f>(W36/(V36-U36))*(T36 -U36)</f>
        <v>0</v>
      </c>
      <c r="AB36" s="121">
        <f>((Y36-W36)/(X36-V36))*(T36 -V36)+W36</f>
        <v>7</v>
      </c>
      <c r="AC36" s="121" t="e">
        <f>((9.75-Y36)/(Z36-X36))*(T36 -X36)+Y36</f>
        <v>#DIV/0!</v>
      </c>
      <c r="AD36" s="121">
        <f>IF(H36&lt;=V36,AA36,IF(H36&lt;=X36,AB36,AC36))</f>
        <v>7</v>
      </c>
      <c r="AE36" s="121">
        <f>ROUND(AD36,2)</f>
        <v>7</v>
      </c>
    </row>
    <row r="38" spans="1:31" ht="36" hidden="1" customHeight="1" thickTop="1" x14ac:dyDescent="0.35">
      <c r="A38" s="218" t="s">
        <v>2</v>
      </c>
      <c r="B38" s="218"/>
      <c r="C38" s="218"/>
      <c r="D38" s="218"/>
      <c r="E38" s="218"/>
      <c r="F38" s="218"/>
      <c r="G38" s="93"/>
    </row>
    <row r="39" spans="1:31" s="61" customFormat="1" ht="18" hidden="1" customHeight="1" x14ac:dyDescent="0.2">
      <c r="A39" s="55" t="s">
        <v>9</v>
      </c>
      <c r="B39" s="56"/>
      <c r="C39" s="57"/>
      <c r="D39" s="56" t="s">
        <v>8</v>
      </c>
      <c r="E39" s="56"/>
      <c r="F39" s="56">
        <v>1</v>
      </c>
      <c r="G39" s="56"/>
      <c r="H39" s="58"/>
      <c r="I39" s="59"/>
      <c r="J39" s="59"/>
      <c r="K39" s="59"/>
      <c r="L39" s="59"/>
      <c r="M39" s="59"/>
      <c r="N39" s="60"/>
      <c r="O39" s="60"/>
      <c r="P39" s="59"/>
      <c r="Q39" s="59"/>
      <c r="R39" s="59"/>
    </row>
    <row r="40" spans="1:31" ht="30" hidden="1" customHeight="1" x14ac:dyDescent="0.2">
      <c r="A40" s="62" t="s">
        <v>74</v>
      </c>
      <c r="B40" s="10" t="s">
        <v>10</v>
      </c>
      <c r="C40" s="10" t="s">
        <v>11</v>
      </c>
      <c r="D40" s="10" t="s">
        <v>12</v>
      </c>
      <c r="E40" s="10" t="s">
        <v>0</v>
      </c>
      <c r="F40" s="10" t="s">
        <v>1</v>
      </c>
      <c r="G40" s="10"/>
      <c r="H40" s="10" t="s">
        <v>5</v>
      </c>
      <c r="I40" s="10" t="s">
        <v>173</v>
      </c>
      <c r="J40" s="11" t="s">
        <v>174</v>
      </c>
      <c r="K40" s="11" t="s">
        <v>175</v>
      </c>
      <c r="L40" s="11" t="s">
        <v>176</v>
      </c>
      <c r="M40" s="11" t="s">
        <v>178</v>
      </c>
      <c r="N40" s="11" t="s">
        <v>3</v>
      </c>
      <c r="O40" s="11" t="s">
        <v>207</v>
      </c>
      <c r="P40" s="11" t="s">
        <v>208</v>
      </c>
      <c r="Q40" s="11" t="s">
        <v>209</v>
      </c>
      <c r="R40" s="11" t="s">
        <v>210</v>
      </c>
      <c r="S40" s="11" t="s">
        <v>211</v>
      </c>
      <c r="T40" s="11" t="s">
        <v>212</v>
      </c>
      <c r="U40" s="11" t="s">
        <v>213</v>
      </c>
      <c r="V40" s="11" t="s">
        <v>214</v>
      </c>
      <c r="W40" s="11" t="s">
        <v>215</v>
      </c>
      <c r="X40" s="11" t="s">
        <v>182</v>
      </c>
      <c r="Y40" s="11" t="s">
        <v>184</v>
      </c>
    </row>
    <row r="41" spans="1:31" ht="15" hidden="1" customHeight="1" x14ac:dyDescent="0.2">
      <c r="A41" s="4">
        <f>S41</f>
        <v>7</v>
      </c>
      <c r="B41" s="63">
        <f>I16</f>
        <v>0</v>
      </c>
      <c r="C41" s="63">
        <f>J16</f>
        <v>0</v>
      </c>
      <c r="D41" s="63">
        <f>K16</f>
        <v>0</v>
      </c>
      <c r="E41" s="63">
        <f>L16</f>
        <v>0</v>
      </c>
      <c r="F41" s="63">
        <f>M16</f>
        <v>0</v>
      </c>
      <c r="G41" s="88"/>
      <c r="H41" s="63">
        <f t="shared" ref="H41:Y41" si="30">N16</f>
        <v>0</v>
      </c>
      <c r="I41" s="86">
        <f t="shared" si="30"/>
        <v>0</v>
      </c>
      <c r="J41" s="86">
        <f t="shared" si="30"/>
        <v>0</v>
      </c>
      <c r="K41" s="86">
        <f t="shared" si="30"/>
        <v>0</v>
      </c>
      <c r="L41" s="86">
        <f t="shared" si="30"/>
        <v>0</v>
      </c>
      <c r="M41" s="86">
        <f t="shared" si="30"/>
        <v>0</v>
      </c>
      <c r="N41" s="112">
        <f t="shared" si="30"/>
        <v>0</v>
      </c>
      <c r="O41" s="114">
        <f t="shared" si="30"/>
        <v>0</v>
      </c>
      <c r="P41" s="114">
        <f t="shared" si="30"/>
        <v>-6</v>
      </c>
      <c r="Q41" s="114">
        <f t="shared" si="30"/>
        <v>5.75</v>
      </c>
      <c r="R41" s="114">
        <f t="shared" si="30"/>
        <v>0</v>
      </c>
      <c r="S41" s="114">
        <f t="shared" si="30"/>
        <v>7</v>
      </c>
      <c r="T41" s="114">
        <f t="shared" si="30"/>
        <v>0</v>
      </c>
      <c r="U41" s="114">
        <f t="shared" si="30"/>
        <v>0</v>
      </c>
      <c r="V41" s="114">
        <f t="shared" si="30"/>
        <v>7</v>
      </c>
      <c r="W41" s="114" t="e">
        <f t="shared" si="30"/>
        <v>#DIV/0!</v>
      </c>
      <c r="X41" s="114">
        <f t="shared" si="30"/>
        <v>7</v>
      </c>
      <c r="Y41" s="114">
        <f t="shared" si="30"/>
        <v>7</v>
      </c>
    </row>
    <row r="42" spans="1:31" ht="12.75" hidden="1" customHeight="1" x14ac:dyDescent="0.2">
      <c r="A42" s="216">
        <f>IF(AND(Verzamelstaat!H26:'Verzamelstaat'!H28),F46,0)</f>
        <v>0</v>
      </c>
      <c r="B42" s="217" t="s">
        <v>185</v>
      </c>
      <c r="C42" s="217"/>
      <c r="D42" s="217"/>
      <c r="E42" s="217"/>
      <c r="F42" s="86">
        <f>Y41</f>
        <v>7</v>
      </c>
      <c r="G42" s="88"/>
      <c r="H42" s="65"/>
      <c r="I42" s="66"/>
    </row>
    <row r="43" spans="1:31" ht="12.75" hidden="1" customHeight="1" x14ac:dyDescent="0.2">
      <c r="A43" s="216"/>
      <c r="B43" s="217" t="s">
        <v>179</v>
      </c>
      <c r="C43" s="217"/>
      <c r="D43" s="217"/>
      <c r="E43" s="217"/>
      <c r="F43" s="86">
        <f>IF(AND(B54&gt;=3,F42&gt;5),5,F42)</f>
        <v>7</v>
      </c>
      <c r="G43" s="88"/>
      <c r="H43" s="65"/>
      <c r="I43" s="66"/>
    </row>
    <row r="44" spans="1:31" ht="12.75" hidden="1" customHeight="1" x14ac:dyDescent="0.2">
      <c r="A44" s="216"/>
      <c r="B44" s="217" t="s">
        <v>187</v>
      </c>
      <c r="C44" s="217"/>
      <c r="D44" s="217"/>
      <c r="E44" s="217"/>
      <c r="F44" s="86">
        <f>IF(AND(J41&gt;=1,F43&gt;5),5,F43)</f>
        <v>7</v>
      </c>
      <c r="G44" s="88"/>
      <c r="H44" s="65"/>
      <c r="I44" s="66"/>
    </row>
    <row r="45" spans="1:31" ht="15" hidden="1" customHeight="1" x14ac:dyDescent="0.2">
      <c r="A45" s="216"/>
      <c r="B45" s="217" t="s">
        <v>186</v>
      </c>
      <c r="C45" s="217"/>
      <c r="D45" s="217"/>
      <c r="E45" s="217"/>
      <c r="F45" s="86">
        <f>IF(AND(I41&gt;0,F44&gt;5),5,F44)</f>
        <v>7</v>
      </c>
      <c r="G45" s="88"/>
      <c r="H45" s="65"/>
      <c r="I45" s="66"/>
    </row>
    <row r="46" spans="1:31" ht="15" hidden="1" customHeight="1" x14ac:dyDescent="0.2">
      <c r="A46" s="216"/>
      <c r="B46" s="217" t="s">
        <v>219</v>
      </c>
      <c r="C46" s="217"/>
      <c r="D46" s="217"/>
      <c r="E46" s="217"/>
      <c r="F46" s="120">
        <f>IF(F45=5.5,6,F45)</f>
        <v>7</v>
      </c>
      <c r="G46" s="88"/>
      <c r="H46" s="65"/>
      <c r="I46" s="66"/>
    </row>
    <row r="47" spans="1:31" ht="15" hidden="1" customHeight="1" x14ac:dyDescent="0.2">
      <c r="A47" s="216"/>
      <c r="B47" s="86"/>
      <c r="C47" s="86"/>
      <c r="D47" s="86"/>
      <c r="E47" s="86"/>
      <c r="F47" s="86"/>
      <c r="G47" s="88"/>
      <c r="H47" s="65"/>
      <c r="I47" s="66"/>
    </row>
    <row r="48" spans="1:31" ht="15.75" hidden="1" customHeight="1" x14ac:dyDescent="0.2">
      <c r="A48" s="216"/>
      <c r="B48" s="86"/>
      <c r="C48" s="86"/>
      <c r="D48" s="86"/>
      <c r="E48" s="86"/>
      <c r="F48" s="86"/>
      <c r="G48" s="88"/>
      <c r="H48" s="65"/>
      <c r="I48" s="66"/>
    </row>
    <row r="49" spans="1:25" ht="16.5" hidden="1" customHeight="1" x14ac:dyDescent="0.2">
      <c r="A49" s="216"/>
      <c r="B49" s="86"/>
      <c r="C49" s="86"/>
      <c r="D49" s="86"/>
      <c r="E49" s="86"/>
      <c r="F49" s="86"/>
      <c r="G49" s="88"/>
      <c r="H49" s="65"/>
      <c r="I49" s="66"/>
    </row>
    <row r="50" spans="1:25" ht="17.25" hidden="1" customHeight="1" x14ac:dyDescent="0.2">
      <c r="A50" s="216"/>
      <c r="B50" s="86"/>
      <c r="C50" s="86"/>
      <c r="D50" s="86"/>
      <c r="E50" s="86"/>
      <c r="F50" s="86"/>
      <c r="G50" s="88"/>
      <c r="H50" s="65"/>
      <c r="I50" s="66"/>
    </row>
    <row r="51" spans="1:25" ht="14.25" hidden="1" customHeight="1" x14ac:dyDescent="0.2">
      <c r="A51" s="216"/>
      <c r="B51" s="217"/>
      <c r="C51" s="217"/>
      <c r="D51" s="217"/>
      <c r="E51" s="217"/>
      <c r="F51" s="86"/>
      <c r="G51" s="88"/>
      <c r="H51" s="65"/>
      <c r="I51" s="66"/>
    </row>
    <row r="52" spans="1:25" ht="15" hidden="1" customHeight="1" x14ac:dyDescent="0.2">
      <c r="A52" s="216"/>
      <c r="B52" s="217"/>
      <c r="C52" s="217"/>
      <c r="D52" s="217"/>
      <c r="E52" s="217"/>
      <c r="F52" s="86"/>
      <c r="G52" s="88"/>
      <c r="H52" s="65"/>
      <c r="I52" s="66"/>
    </row>
    <row r="53" spans="1:25" ht="32.25" hidden="1" customHeight="1" x14ac:dyDescent="0.2">
      <c r="A53" s="62" t="s">
        <v>68</v>
      </c>
      <c r="B53" s="64" t="s">
        <v>10</v>
      </c>
      <c r="C53" s="64" t="s">
        <v>11</v>
      </c>
      <c r="D53" s="64" t="s">
        <v>12</v>
      </c>
      <c r="E53" s="64" t="s">
        <v>0</v>
      </c>
      <c r="F53" s="64" t="s">
        <v>1</v>
      </c>
      <c r="G53" s="64"/>
      <c r="H53" s="10" t="s">
        <v>5</v>
      </c>
      <c r="I53" s="10" t="s">
        <v>173</v>
      </c>
      <c r="J53" s="11" t="s">
        <v>174</v>
      </c>
      <c r="K53" s="11" t="s">
        <v>175</v>
      </c>
      <c r="L53" s="11" t="s">
        <v>176</v>
      </c>
      <c r="M53" s="11" t="s">
        <v>178</v>
      </c>
      <c r="N53" s="11" t="s">
        <v>3</v>
      </c>
      <c r="O53" s="11" t="s">
        <v>207</v>
      </c>
      <c r="P53" s="11" t="s">
        <v>208</v>
      </c>
      <c r="Q53" s="11" t="s">
        <v>209</v>
      </c>
      <c r="R53" s="11" t="s">
        <v>210</v>
      </c>
      <c r="S53" s="11" t="s">
        <v>211</v>
      </c>
      <c r="T53" s="11" t="s">
        <v>212</v>
      </c>
      <c r="U53" s="11" t="s">
        <v>213</v>
      </c>
      <c r="V53" s="11" t="s">
        <v>214</v>
      </c>
      <c r="W53" s="11" t="s">
        <v>215</v>
      </c>
      <c r="X53" s="11" t="s">
        <v>182</v>
      </c>
      <c r="Y53" s="11" t="s">
        <v>184</v>
      </c>
    </row>
    <row r="54" spans="1:25" ht="15" hidden="1" customHeight="1" x14ac:dyDescent="0.2">
      <c r="A54" s="4">
        <f>S54</f>
        <v>7</v>
      </c>
      <c r="B54" s="85">
        <f>I16</f>
        <v>0</v>
      </c>
      <c r="C54" s="85">
        <f>J16</f>
        <v>0</v>
      </c>
      <c r="D54" s="85">
        <f>K16</f>
        <v>0</v>
      </c>
      <c r="E54" s="85">
        <f>L16</f>
        <v>0</v>
      </c>
      <c r="F54" s="85">
        <f>M16</f>
        <v>0</v>
      </c>
      <c r="G54" s="88"/>
      <c r="H54" s="85">
        <f t="shared" ref="H54:Y54" si="31">N16</f>
        <v>0</v>
      </c>
      <c r="I54" s="86">
        <f t="shared" si="31"/>
        <v>0</v>
      </c>
      <c r="J54" s="86">
        <f t="shared" si="31"/>
        <v>0</v>
      </c>
      <c r="K54" s="86">
        <f t="shared" si="31"/>
        <v>0</v>
      </c>
      <c r="L54" s="86">
        <f t="shared" si="31"/>
        <v>0</v>
      </c>
      <c r="M54" s="86">
        <f t="shared" si="31"/>
        <v>0</v>
      </c>
      <c r="N54" s="86">
        <f t="shared" si="31"/>
        <v>0</v>
      </c>
      <c r="O54" s="113">
        <f t="shared" si="31"/>
        <v>0</v>
      </c>
      <c r="P54" s="113">
        <f t="shared" si="31"/>
        <v>-6</v>
      </c>
      <c r="Q54" s="113">
        <f t="shared" si="31"/>
        <v>5.75</v>
      </c>
      <c r="R54" s="113">
        <f t="shared" si="31"/>
        <v>0</v>
      </c>
      <c r="S54" s="113">
        <f t="shared" si="31"/>
        <v>7</v>
      </c>
      <c r="T54" s="113">
        <f t="shared" si="31"/>
        <v>0</v>
      </c>
      <c r="U54" s="113">
        <f t="shared" si="31"/>
        <v>0</v>
      </c>
      <c r="V54" s="113">
        <f t="shared" si="31"/>
        <v>7</v>
      </c>
      <c r="W54" s="113" t="e">
        <f t="shared" si="31"/>
        <v>#DIV/0!</v>
      </c>
      <c r="X54" s="113">
        <f t="shared" si="31"/>
        <v>7</v>
      </c>
      <c r="Y54" s="113">
        <f t="shared" si="31"/>
        <v>7</v>
      </c>
    </row>
    <row r="55" spans="1:25" ht="12.75" hidden="1" customHeight="1" x14ac:dyDescent="0.2">
      <c r="A55" s="216">
        <f>IF(AND(Verzamelstaat!H26:'Verzamelstaat'!H28),F59,0)</f>
        <v>0</v>
      </c>
      <c r="B55" s="217" t="s">
        <v>185</v>
      </c>
      <c r="C55" s="217"/>
      <c r="D55" s="217"/>
      <c r="E55" s="217"/>
      <c r="F55" s="95">
        <f>Y54</f>
        <v>7</v>
      </c>
      <c r="G55" s="88"/>
      <c r="H55" s="65"/>
      <c r="I55" s="84"/>
      <c r="J55" s="83"/>
      <c r="K55" s="83"/>
      <c r="L55" s="83"/>
      <c r="M55" s="83"/>
      <c r="P55" s="83"/>
      <c r="Q55" s="83"/>
      <c r="R55" s="83"/>
    </row>
    <row r="56" spans="1:25" ht="12.75" hidden="1" customHeight="1" x14ac:dyDescent="0.2">
      <c r="A56" s="216"/>
      <c r="B56" s="217" t="s">
        <v>180</v>
      </c>
      <c r="C56" s="217"/>
      <c r="D56" s="217"/>
      <c r="E56" s="217"/>
      <c r="F56" s="86">
        <f>IF(AND(SUM(B54:C54)&gt;=3,F55&gt;5),5,F55)</f>
        <v>7</v>
      </c>
      <c r="G56" s="88"/>
      <c r="H56" s="65"/>
      <c r="I56" s="84"/>
      <c r="J56" s="83"/>
      <c r="K56" s="83"/>
      <c r="L56" s="83"/>
      <c r="M56" s="83"/>
      <c r="P56" s="83"/>
      <c r="Q56" s="83"/>
      <c r="R56" s="83"/>
    </row>
    <row r="57" spans="1:25" ht="12.75" hidden="1" customHeight="1" x14ac:dyDescent="0.2">
      <c r="A57" s="216"/>
      <c r="B57" s="217" t="s">
        <v>181</v>
      </c>
      <c r="C57" s="217"/>
      <c r="D57" s="217"/>
      <c r="E57" s="217"/>
      <c r="F57" s="86">
        <f>IF(AND(K54&gt;=1,F56&gt;5),5,F56)</f>
        <v>7</v>
      </c>
      <c r="G57" s="88"/>
      <c r="H57" s="65"/>
      <c r="I57" s="84"/>
      <c r="J57" s="83"/>
      <c r="K57" s="83"/>
      <c r="L57" s="83"/>
      <c r="M57" s="83"/>
      <c r="P57" s="83"/>
      <c r="Q57" s="83"/>
      <c r="R57" s="83"/>
    </row>
    <row r="58" spans="1:25" ht="15" hidden="1" customHeight="1" x14ac:dyDescent="0.2">
      <c r="A58" s="216"/>
      <c r="B58" s="217" t="s">
        <v>186</v>
      </c>
      <c r="C58" s="217"/>
      <c r="D58" s="217"/>
      <c r="E58" s="217"/>
      <c r="F58" s="85">
        <f>IF(AND(I54&gt;0,F57&gt;5),5,F57)</f>
        <v>7</v>
      </c>
      <c r="G58" s="88"/>
      <c r="H58" s="65"/>
      <c r="I58" s="84"/>
      <c r="J58" s="83"/>
      <c r="K58" s="83"/>
      <c r="L58" s="83"/>
      <c r="M58" s="83"/>
      <c r="P58" s="83"/>
      <c r="Q58" s="83"/>
      <c r="R58" s="83"/>
    </row>
    <row r="59" spans="1:25" ht="15" hidden="1" customHeight="1" x14ac:dyDescent="0.2">
      <c r="A59" s="216"/>
      <c r="B59" s="217" t="s">
        <v>219</v>
      </c>
      <c r="C59" s="217"/>
      <c r="D59" s="217"/>
      <c r="E59" s="217"/>
      <c r="F59" s="120">
        <f>IF(F58=5.5,6,F58)</f>
        <v>7</v>
      </c>
      <c r="G59" s="88"/>
      <c r="H59" s="65"/>
      <c r="I59" s="84"/>
      <c r="J59" s="83"/>
      <c r="K59" s="83"/>
      <c r="L59" s="83"/>
      <c r="M59" s="83"/>
      <c r="P59" s="83"/>
      <c r="Q59" s="83"/>
      <c r="R59" s="83"/>
    </row>
    <row r="60" spans="1:25" ht="15" hidden="1" customHeight="1" x14ac:dyDescent="0.2">
      <c r="A60" s="216"/>
      <c r="B60" s="86"/>
      <c r="C60" s="86"/>
      <c r="D60" s="86"/>
      <c r="E60" s="86"/>
      <c r="F60" s="85"/>
      <c r="G60" s="88"/>
      <c r="H60" s="65"/>
      <c r="I60" s="84"/>
      <c r="J60" s="83"/>
      <c r="K60" s="83"/>
      <c r="L60" s="83"/>
      <c r="M60" s="83"/>
      <c r="P60" s="83"/>
      <c r="Q60" s="83"/>
      <c r="R60" s="83"/>
    </row>
    <row r="61" spans="1:25" ht="15.75" hidden="1" customHeight="1" x14ac:dyDescent="0.2">
      <c r="A61" s="216"/>
      <c r="B61" s="86"/>
      <c r="C61" s="86"/>
      <c r="D61" s="86"/>
      <c r="E61" s="86"/>
      <c r="F61" s="85"/>
      <c r="G61" s="88"/>
      <c r="H61" s="65"/>
      <c r="I61" s="84"/>
      <c r="J61" s="83"/>
      <c r="K61" s="83"/>
      <c r="L61" s="83"/>
      <c r="M61" s="83"/>
      <c r="P61" s="83"/>
      <c r="Q61" s="83"/>
      <c r="R61" s="83"/>
    </row>
    <row r="62" spans="1:25" ht="16.5" hidden="1" customHeight="1" x14ac:dyDescent="0.2">
      <c r="A62" s="216"/>
      <c r="B62" s="86"/>
      <c r="C62" s="86"/>
      <c r="D62" s="86"/>
      <c r="E62" s="86"/>
      <c r="F62" s="85"/>
      <c r="G62" s="88"/>
      <c r="H62" s="65"/>
      <c r="I62" s="84"/>
      <c r="J62" s="83"/>
      <c r="K62" s="83"/>
      <c r="L62" s="83"/>
      <c r="M62" s="83"/>
      <c r="P62" s="83"/>
      <c r="Q62" s="83"/>
      <c r="R62" s="83"/>
    </row>
    <row r="63" spans="1:25" ht="17.25" hidden="1" customHeight="1" x14ac:dyDescent="0.2">
      <c r="A63" s="216"/>
      <c r="B63" s="86"/>
      <c r="C63" s="86"/>
      <c r="D63" s="86"/>
      <c r="E63" s="86"/>
      <c r="F63" s="85"/>
      <c r="G63" s="88"/>
      <c r="H63" s="65"/>
      <c r="I63" s="84"/>
      <c r="J63" s="83"/>
      <c r="K63" s="83"/>
      <c r="L63" s="83"/>
      <c r="M63" s="83"/>
      <c r="P63" s="83"/>
      <c r="Q63" s="83"/>
      <c r="R63" s="83"/>
    </row>
    <row r="64" spans="1:25" ht="14.25" hidden="1" customHeight="1" x14ac:dyDescent="0.2">
      <c r="A64" s="216"/>
      <c r="B64" s="217"/>
      <c r="C64" s="217"/>
      <c r="D64" s="217"/>
      <c r="E64" s="217"/>
      <c r="F64" s="85"/>
      <c r="G64" s="88"/>
      <c r="H64" s="65"/>
      <c r="I64" s="84"/>
      <c r="J64" s="83"/>
      <c r="K64" s="83"/>
      <c r="L64" s="83"/>
      <c r="M64" s="83"/>
      <c r="P64" s="83"/>
      <c r="Q64" s="83"/>
      <c r="R64" s="83"/>
    </row>
    <row r="65" spans="1:25" ht="15" hidden="1" customHeight="1" x14ac:dyDescent="0.2">
      <c r="A65" s="216"/>
      <c r="B65" s="217"/>
      <c r="C65" s="217"/>
      <c r="D65" s="217"/>
      <c r="E65" s="217"/>
      <c r="F65" s="85"/>
      <c r="G65" s="88"/>
      <c r="H65" s="65"/>
      <c r="I65" s="84"/>
      <c r="J65" s="83"/>
      <c r="K65" s="83"/>
      <c r="L65" s="83"/>
      <c r="M65" s="83"/>
      <c r="P65" s="83"/>
      <c r="Q65" s="83"/>
      <c r="R65" s="83"/>
    </row>
    <row r="66" spans="1:25" ht="35.25" hidden="1" customHeight="1" x14ac:dyDescent="0.2">
      <c r="A66" s="62" t="s">
        <v>69</v>
      </c>
      <c r="B66" s="64" t="s">
        <v>10</v>
      </c>
      <c r="C66" s="64" t="s">
        <v>11</v>
      </c>
      <c r="D66" s="64" t="s">
        <v>12</v>
      </c>
      <c r="E66" s="64" t="s">
        <v>0</v>
      </c>
      <c r="F66" s="64" t="s">
        <v>1</v>
      </c>
      <c r="G66" s="64"/>
      <c r="H66" s="10" t="s">
        <v>5</v>
      </c>
      <c r="I66" s="10" t="s">
        <v>173</v>
      </c>
      <c r="J66" s="11" t="s">
        <v>174</v>
      </c>
      <c r="K66" s="11" t="s">
        <v>175</v>
      </c>
      <c r="L66" s="11" t="s">
        <v>176</v>
      </c>
      <c r="M66" s="11" t="s">
        <v>178</v>
      </c>
      <c r="N66" s="11" t="s">
        <v>3</v>
      </c>
      <c r="O66" s="11" t="s">
        <v>207</v>
      </c>
      <c r="P66" s="11" t="s">
        <v>208</v>
      </c>
      <c r="Q66" s="11" t="s">
        <v>209</v>
      </c>
      <c r="R66" s="11" t="s">
        <v>210</v>
      </c>
      <c r="S66" s="11" t="s">
        <v>211</v>
      </c>
      <c r="T66" s="11" t="s">
        <v>212</v>
      </c>
      <c r="U66" s="11" t="s">
        <v>213</v>
      </c>
      <c r="V66" s="11" t="s">
        <v>214</v>
      </c>
      <c r="W66" s="11" t="s">
        <v>215</v>
      </c>
      <c r="X66" s="11" t="s">
        <v>182</v>
      </c>
      <c r="Y66" s="11" t="s">
        <v>184</v>
      </c>
    </row>
    <row r="67" spans="1:25" ht="15" hidden="1" customHeight="1" x14ac:dyDescent="0.2">
      <c r="A67" s="4">
        <f>S67</f>
        <v>7</v>
      </c>
      <c r="B67" s="63">
        <f>I16</f>
        <v>0</v>
      </c>
      <c r="C67" s="63">
        <f>J16</f>
        <v>0</v>
      </c>
      <c r="D67" s="63">
        <f>K16</f>
        <v>0</v>
      </c>
      <c r="E67" s="63">
        <f>L16</f>
        <v>0</v>
      </c>
      <c r="F67" s="63">
        <f>M16</f>
        <v>0</v>
      </c>
      <c r="G67" s="88"/>
      <c r="H67" s="63">
        <f t="shared" ref="H67:Y67" si="32">N16</f>
        <v>0</v>
      </c>
      <c r="I67" s="86">
        <f t="shared" si="32"/>
        <v>0</v>
      </c>
      <c r="J67" s="86">
        <f t="shared" si="32"/>
        <v>0</v>
      </c>
      <c r="K67" s="86">
        <f t="shared" si="32"/>
        <v>0</v>
      </c>
      <c r="L67" s="86">
        <f t="shared" si="32"/>
        <v>0</v>
      </c>
      <c r="M67" s="86">
        <f t="shared" si="32"/>
        <v>0</v>
      </c>
      <c r="N67" s="86">
        <f t="shared" si="32"/>
        <v>0</v>
      </c>
      <c r="O67" s="113">
        <f t="shared" si="32"/>
        <v>0</v>
      </c>
      <c r="P67" s="113">
        <f t="shared" si="32"/>
        <v>-6</v>
      </c>
      <c r="Q67" s="113">
        <f t="shared" si="32"/>
        <v>5.75</v>
      </c>
      <c r="R67" s="113">
        <f t="shared" si="32"/>
        <v>0</v>
      </c>
      <c r="S67" s="113">
        <f t="shared" si="32"/>
        <v>7</v>
      </c>
      <c r="T67" s="113">
        <f t="shared" si="32"/>
        <v>0</v>
      </c>
      <c r="U67" s="113">
        <f t="shared" si="32"/>
        <v>0</v>
      </c>
      <c r="V67" s="113">
        <f t="shared" si="32"/>
        <v>7</v>
      </c>
      <c r="W67" s="113" t="e">
        <f t="shared" si="32"/>
        <v>#DIV/0!</v>
      </c>
      <c r="X67" s="113">
        <f t="shared" si="32"/>
        <v>7</v>
      </c>
      <c r="Y67" s="113">
        <f t="shared" si="32"/>
        <v>7</v>
      </c>
    </row>
    <row r="68" spans="1:25" ht="12" hidden="1" customHeight="1" x14ac:dyDescent="0.2">
      <c r="A68" s="216">
        <f>IF(AND(Verzamelstaat!H26:'Verzamelstaat'!H28),F72,0)</f>
        <v>0</v>
      </c>
      <c r="B68" s="217" t="s">
        <v>185</v>
      </c>
      <c r="C68" s="217"/>
      <c r="D68" s="217"/>
      <c r="E68" s="217"/>
      <c r="F68" s="95">
        <f>Y67</f>
        <v>7</v>
      </c>
      <c r="G68" s="88"/>
      <c r="H68" s="65"/>
      <c r="I68" s="66"/>
    </row>
    <row r="69" spans="1:25" ht="12.75" hidden="1" customHeight="1" x14ac:dyDescent="0.2">
      <c r="A69" s="216"/>
      <c r="B69" s="217" t="s">
        <v>188</v>
      </c>
      <c r="C69" s="217"/>
      <c r="D69" s="217"/>
      <c r="E69" s="217"/>
      <c r="F69" s="86">
        <f>IF(AND(SUM(B67:C67)&gt;=3,F68&gt;5),5,F68)</f>
        <v>7</v>
      </c>
      <c r="G69" s="88"/>
      <c r="H69" s="65"/>
      <c r="I69" s="66"/>
    </row>
    <row r="70" spans="1:25" ht="12.75" hidden="1" customHeight="1" x14ac:dyDescent="0.2">
      <c r="A70" s="216"/>
      <c r="B70" s="217" t="s">
        <v>189</v>
      </c>
      <c r="C70" s="217"/>
      <c r="D70" s="217"/>
      <c r="E70" s="217"/>
      <c r="F70" s="86">
        <f>IF(AND(L67&gt;=1,F69&gt;5),5,F69)</f>
        <v>7</v>
      </c>
      <c r="G70" s="88"/>
      <c r="H70" s="65"/>
      <c r="I70" s="66"/>
    </row>
    <row r="71" spans="1:25" ht="15" hidden="1" customHeight="1" x14ac:dyDescent="0.2">
      <c r="A71" s="216"/>
      <c r="B71" s="217" t="s">
        <v>186</v>
      </c>
      <c r="C71" s="217"/>
      <c r="D71" s="217"/>
      <c r="E71" s="217"/>
      <c r="F71" s="86">
        <f>IF(AND(I67&gt;0,F70&gt;5),5,F70)</f>
        <v>7</v>
      </c>
      <c r="G71" s="88"/>
      <c r="H71" s="65"/>
      <c r="I71" s="66"/>
    </row>
    <row r="72" spans="1:25" ht="15" hidden="1" customHeight="1" x14ac:dyDescent="0.2">
      <c r="A72" s="216"/>
      <c r="B72" s="217" t="s">
        <v>219</v>
      </c>
      <c r="C72" s="217"/>
      <c r="D72" s="217"/>
      <c r="E72" s="217"/>
      <c r="F72" s="120">
        <f>IF(F71=5.5,6,F71)</f>
        <v>7</v>
      </c>
      <c r="G72" s="88"/>
      <c r="H72" s="65"/>
      <c r="I72" s="66"/>
    </row>
    <row r="73" spans="1:25" ht="15" hidden="1" customHeight="1" x14ac:dyDescent="0.2">
      <c r="A73" s="216"/>
      <c r="B73" s="86"/>
      <c r="C73" s="86"/>
      <c r="D73" s="86"/>
      <c r="E73" s="86"/>
      <c r="F73" s="86"/>
      <c r="G73" s="88"/>
      <c r="H73" s="65"/>
      <c r="I73" s="66"/>
    </row>
    <row r="74" spans="1:25" ht="15" hidden="1" customHeight="1" x14ac:dyDescent="0.2">
      <c r="A74" s="216"/>
      <c r="B74" s="86"/>
      <c r="C74" s="86"/>
      <c r="D74" s="86"/>
      <c r="E74" s="86"/>
      <c r="F74" s="86"/>
      <c r="G74" s="88"/>
      <c r="H74" s="65"/>
      <c r="I74" s="66"/>
    </row>
    <row r="75" spans="1:25" ht="15" hidden="1" customHeight="1" x14ac:dyDescent="0.2">
      <c r="A75" s="216"/>
      <c r="B75" s="86"/>
      <c r="C75" s="86"/>
      <c r="D75" s="86"/>
      <c r="E75" s="86"/>
      <c r="F75" s="86"/>
      <c r="G75" s="88"/>
      <c r="H75" s="65"/>
      <c r="I75" s="66"/>
    </row>
    <row r="76" spans="1:25" ht="15" hidden="1" customHeight="1" x14ac:dyDescent="0.2">
      <c r="A76" s="216"/>
      <c r="B76" s="86"/>
      <c r="C76" s="86"/>
      <c r="D76" s="86"/>
      <c r="E76" s="86"/>
      <c r="F76" s="86"/>
      <c r="G76" s="88"/>
      <c r="H76" s="65"/>
      <c r="I76" s="66"/>
    </row>
    <row r="77" spans="1:25" ht="14.25" hidden="1" customHeight="1" x14ac:dyDescent="0.2">
      <c r="A77" s="216"/>
      <c r="B77" s="217"/>
      <c r="C77" s="217"/>
      <c r="D77" s="217"/>
      <c r="E77" s="217"/>
      <c r="F77" s="86"/>
      <c r="G77" s="88"/>
      <c r="H77" s="65"/>
      <c r="I77" s="66"/>
    </row>
    <row r="78" spans="1:25" ht="15" hidden="1" customHeight="1" x14ac:dyDescent="0.2">
      <c r="A78" s="216"/>
      <c r="B78" s="217"/>
      <c r="C78" s="217"/>
      <c r="D78" s="217"/>
      <c r="E78" s="217"/>
      <c r="F78" s="86"/>
      <c r="G78" s="88"/>
      <c r="H78" s="65"/>
      <c r="I78" s="66"/>
    </row>
    <row r="79" spans="1:25" ht="23.25" hidden="1" customHeight="1" x14ac:dyDescent="0.2">
      <c r="A79" s="62" t="s">
        <v>114</v>
      </c>
      <c r="B79" s="64" t="s">
        <v>10</v>
      </c>
      <c r="C79" s="64" t="s">
        <v>11</v>
      </c>
      <c r="D79" s="64" t="s">
        <v>12</v>
      </c>
      <c r="E79" s="64" t="s">
        <v>0</v>
      </c>
      <c r="F79" s="64" t="s">
        <v>1</v>
      </c>
      <c r="G79" s="64"/>
      <c r="H79" s="10" t="s">
        <v>5</v>
      </c>
      <c r="I79" s="10" t="s">
        <v>173</v>
      </c>
      <c r="J79" s="11" t="s">
        <v>174</v>
      </c>
      <c r="K79" s="11" t="s">
        <v>175</v>
      </c>
      <c r="L79" s="11" t="s">
        <v>176</v>
      </c>
      <c r="M79" s="11" t="s">
        <v>178</v>
      </c>
      <c r="N79" s="11" t="s">
        <v>3</v>
      </c>
      <c r="O79" s="11" t="s">
        <v>207</v>
      </c>
      <c r="P79" s="11" t="s">
        <v>208</v>
      </c>
      <c r="Q79" s="11" t="s">
        <v>209</v>
      </c>
      <c r="R79" s="11" t="s">
        <v>210</v>
      </c>
      <c r="S79" s="11" t="s">
        <v>211</v>
      </c>
      <c r="T79" s="11" t="s">
        <v>212</v>
      </c>
      <c r="U79" s="11" t="s">
        <v>213</v>
      </c>
      <c r="V79" s="11" t="s">
        <v>214</v>
      </c>
      <c r="W79" s="11" t="s">
        <v>215</v>
      </c>
      <c r="X79" s="11" t="s">
        <v>182</v>
      </c>
      <c r="Y79" s="11" t="s">
        <v>184</v>
      </c>
    </row>
    <row r="80" spans="1:25" ht="15" hidden="1" customHeight="1" x14ac:dyDescent="0.2">
      <c r="A80" s="4">
        <f>S80</f>
        <v>7</v>
      </c>
      <c r="B80" s="63">
        <f>I27</f>
        <v>0</v>
      </c>
      <c r="C80" s="63">
        <f>J27</f>
        <v>0</v>
      </c>
      <c r="D80" s="63">
        <f>K27</f>
        <v>0</v>
      </c>
      <c r="E80" s="63">
        <f>L27</f>
        <v>0</v>
      </c>
      <c r="F80" s="63">
        <f>M27</f>
        <v>0</v>
      </c>
      <c r="G80" s="88"/>
      <c r="H80" s="63">
        <f t="shared" ref="H80:Y80" si="33">N27</f>
        <v>0</v>
      </c>
      <c r="I80" s="86">
        <f t="shared" si="33"/>
        <v>0</v>
      </c>
      <c r="J80" s="86">
        <f t="shared" si="33"/>
        <v>0</v>
      </c>
      <c r="K80" s="86">
        <f t="shared" si="33"/>
        <v>0</v>
      </c>
      <c r="L80" s="86">
        <f t="shared" si="33"/>
        <v>0</v>
      </c>
      <c r="M80" s="86">
        <f t="shared" si="33"/>
        <v>0</v>
      </c>
      <c r="N80" s="86">
        <f t="shared" si="33"/>
        <v>0</v>
      </c>
      <c r="O80" s="113">
        <f t="shared" si="33"/>
        <v>0</v>
      </c>
      <c r="P80" s="113">
        <f t="shared" si="33"/>
        <v>-6</v>
      </c>
      <c r="Q80" s="113">
        <f t="shared" si="33"/>
        <v>5.75</v>
      </c>
      <c r="R80" s="113">
        <f t="shared" si="33"/>
        <v>0</v>
      </c>
      <c r="S80" s="113">
        <f t="shared" si="33"/>
        <v>7</v>
      </c>
      <c r="T80" s="113">
        <f t="shared" si="33"/>
        <v>0</v>
      </c>
      <c r="U80" s="113">
        <f t="shared" si="33"/>
        <v>0</v>
      </c>
      <c r="V80" s="113">
        <f t="shared" si="33"/>
        <v>7</v>
      </c>
      <c r="W80" s="113" t="e">
        <f t="shared" si="33"/>
        <v>#DIV/0!</v>
      </c>
      <c r="X80" s="113">
        <f t="shared" si="33"/>
        <v>7</v>
      </c>
      <c r="Y80" s="113">
        <f t="shared" si="33"/>
        <v>7</v>
      </c>
    </row>
    <row r="81" spans="1:25" ht="12.75" hidden="1" customHeight="1" x14ac:dyDescent="0.2">
      <c r="A81" s="216">
        <f>IF(AND(Verzamelstaat!H26:'Verzamelstaat'!H28),F85,0)</f>
        <v>0</v>
      </c>
      <c r="B81" s="217" t="s">
        <v>185</v>
      </c>
      <c r="C81" s="217"/>
      <c r="D81" s="217"/>
      <c r="E81" s="217"/>
      <c r="F81" s="95">
        <f>Y80</f>
        <v>7</v>
      </c>
      <c r="G81" s="88"/>
      <c r="H81" s="65"/>
      <c r="I81" s="66"/>
    </row>
    <row r="82" spans="1:25" ht="12.75" hidden="1" customHeight="1" x14ac:dyDescent="0.2">
      <c r="A82" s="216"/>
      <c r="B82" s="217" t="s">
        <v>179</v>
      </c>
      <c r="C82" s="217"/>
      <c r="D82" s="217"/>
      <c r="E82" s="217"/>
      <c r="F82" s="86">
        <f>IF(AND(B93&gt;=3,F81&gt;5),5,F81)</f>
        <v>7</v>
      </c>
      <c r="G82" s="88"/>
      <c r="H82" s="65"/>
      <c r="I82" s="66"/>
    </row>
    <row r="83" spans="1:25" ht="12.75" hidden="1" customHeight="1" x14ac:dyDescent="0.2">
      <c r="A83" s="216"/>
      <c r="B83" s="217" t="s">
        <v>187</v>
      </c>
      <c r="C83" s="217"/>
      <c r="D83" s="217"/>
      <c r="E83" s="217"/>
      <c r="F83" s="86">
        <f>IF(AND(J80&gt;=1,F82&gt;5),5,F82)</f>
        <v>7</v>
      </c>
      <c r="G83" s="88"/>
      <c r="H83" s="65"/>
      <c r="I83" s="66"/>
    </row>
    <row r="84" spans="1:25" ht="15" hidden="1" customHeight="1" x14ac:dyDescent="0.2">
      <c r="A84" s="216"/>
      <c r="B84" s="217" t="s">
        <v>186</v>
      </c>
      <c r="C84" s="217"/>
      <c r="D84" s="217"/>
      <c r="E84" s="217"/>
      <c r="F84" s="86">
        <f>IF(AND(I80&gt;0,F83&gt;5),5,F83)</f>
        <v>7</v>
      </c>
      <c r="G84" s="88"/>
      <c r="H84" s="65"/>
      <c r="I84" s="66"/>
    </row>
    <row r="85" spans="1:25" ht="15" hidden="1" customHeight="1" x14ac:dyDescent="0.2">
      <c r="A85" s="216"/>
      <c r="B85" s="217" t="s">
        <v>219</v>
      </c>
      <c r="C85" s="217"/>
      <c r="D85" s="217"/>
      <c r="E85" s="217"/>
      <c r="F85" s="120">
        <f>IF(F84=5.5,6,F84)</f>
        <v>7</v>
      </c>
      <c r="G85" s="88"/>
      <c r="H85" s="65"/>
      <c r="I85" s="66"/>
    </row>
    <row r="86" spans="1:25" ht="15" hidden="1" customHeight="1" x14ac:dyDescent="0.2">
      <c r="A86" s="216"/>
      <c r="B86" s="86"/>
      <c r="C86" s="86"/>
      <c r="D86" s="86"/>
      <c r="E86" s="86"/>
      <c r="F86" s="86"/>
      <c r="G86" s="88"/>
      <c r="H86" s="65"/>
      <c r="I86" s="66"/>
    </row>
    <row r="87" spans="1:25" ht="15.75" hidden="1" customHeight="1" x14ac:dyDescent="0.2">
      <c r="A87" s="216"/>
      <c r="B87" s="86"/>
      <c r="C87" s="86"/>
      <c r="D87" s="86"/>
      <c r="E87" s="86"/>
      <c r="F87" s="86"/>
      <c r="G87" s="88"/>
      <c r="H87" s="65"/>
      <c r="I87" s="66"/>
    </row>
    <row r="88" spans="1:25" ht="16.5" hidden="1" customHeight="1" x14ac:dyDescent="0.2">
      <c r="A88" s="216"/>
      <c r="B88" s="86"/>
      <c r="C88" s="86"/>
      <c r="D88" s="86"/>
      <c r="E88" s="86"/>
      <c r="F88" s="86"/>
      <c r="G88" s="88"/>
      <c r="H88" s="65"/>
      <c r="I88" s="66"/>
    </row>
    <row r="89" spans="1:25" ht="17.25" hidden="1" customHeight="1" x14ac:dyDescent="0.2">
      <c r="A89" s="216"/>
      <c r="B89" s="86"/>
      <c r="C89" s="86"/>
      <c r="D89" s="86"/>
      <c r="E89" s="86"/>
      <c r="F89" s="86"/>
      <c r="G89" s="88"/>
      <c r="H89" s="65"/>
      <c r="I89" s="66"/>
    </row>
    <row r="90" spans="1:25" ht="14.25" hidden="1" customHeight="1" x14ac:dyDescent="0.2">
      <c r="A90" s="216"/>
      <c r="B90" s="217"/>
      <c r="C90" s="217"/>
      <c r="D90" s="217"/>
      <c r="E90" s="217"/>
      <c r="F90" s="86"/>
      <c r="G90" s="88"/>
      <c r="H90" s="65"/>
      <c r="I90" s="66"/>
    </row>
    <row r="91" spans="1:25" ht="15" hidden="1" customHeight="1" x14ac:dyDescent="0.2">
      <c r="A91" s="216"/>
      <c r="B91" s="217"/>
      <c r="C91" s="217"/>
      <c r="D91" s="217"/>
      <c r="E91" s="217"/>
      <c r="F91" s="86"/>
      <c r="G91" s="88"/>
      <c r="H91" s="65"/>
      <c r="I91" s="66"/>
    </row>
    <row r="92" spans="1:25" ht="23.25" hidden="1" customHeight="1" x14ac:dyDescent="0.2">
      <c r="A92" s="62" t="s">
        <v>115</v>
      </c>
      <c r="B92" s="64" t="s">
        <v>10</v>
      </c>
      <c r="C92" s="64" t="s">
        <v>11</v>
      </c>
      <c r="D92" s="64" t="s">
        <v>12</v>
      </c>
      <c r="E92" s="64" t="s">
        <v>0</v>
      </c>
      <c r="F92" s="64" t="s">
        <v>1</v>
      </c>
      <c r="G92" s="64"/>
      <c r="H92" s="10" t="s">
        <v>5</v>
      </c>
      <c r="I92" s="10" t="s">
        <v>173</v>
      </c>
      <c r="J92" s="11" t="s">
        <v>174</v>
      </c>
      <c r="K92" s="11" t="s">
        <v>175</v>
      </c>
      <c r="L92" s="11" t="s">
        <v>176</v>
      </c>
      <c r="M92" s="11" t="s">
        <v>178</v>
      </c>
      <c r="N92" s="11" t="s">
        <v>3</v>
      </c>
      <c r="O92" s="11" t="s">
        <v>207</v>
      </c>
      <c r="P92" s="11" t="s">
        <v>208</v>
      </c>
      <c r="Q92" s="11" t="s">
        <v>209</v>
      </c>
      <c r="R92" s="11" t="s">
        <v>210</v>
      </c>
      <c r="S92" s="11" t="s">
        <v>211</v>
      </c>
      <c r="T92" s="11" t="s">
        <v>212</v>
      </c>
      <c r="U92" s="11" t="s">
        <v>213</v>
      </c>
      <c r="V92" s="11" t="s">
        <v>214</v>
      </c>
      <c r="W92" s="11" t="s">
        <v>215</v>
      </c>
      <c r="X92" s="11" t="s">
        <v>182</v>
      </c>
      <c r="Y92" s="11" t="s">
        <v>184</v>
      </c>
    </row>
    <row r="93" spans="1:25" ht="15" hidden="1" customHeight="1" x14ac:dyDescent="0.2">
      <c r="A93" s="4">
        <f>S93</f>
        <v>7</v>
      </c>
      <c r="B93" s="63">
        <f>I27</f>
        <v>0</v>
      </c>
      <c r="C93" s="63">
        <f>J27</f>
        <v>0</v>
      </c>
      <c r="D93" s="63">
        <f>K27</f>
        <v>0</v>
      </c>
      <c r="E93" s="63">
        <f>L27</f>
        <v>0</v>
      </c>
      <c r="F93" s="63">
        <f>M27</f>
        <v>0</v>
      </c>
      <c r="G93" s="88"/>
      <c r="H93" s="63">
        <f t="shared" ref="H93:Y93" si="34">N27</f>
        <v>0</v>
      </c>
      <c r="I93" s="86">
        <f t="shared" si="34"/>
        <v>0</v>
      </c>
      <c r="J93" s="86">
        <f t="shared" si="34"/>
        <v>0</v>
      </c>
      <c r="K93" s="86">
        <f t="shared" si="34"/>
        <v>0</v>
      </c>
      <c r="L93" s="86">
        <f t="shared" si="34"/>
        <v>0</v>
      </c>
      <c r="M93" s="86">
        <f t="shared" si="34"/>
        <v>0</v>
      </c>
      <c r="N93" s="86">
        <f t="shared" si="34"/>
        <v>0</v>
      </c>
      <c r="O93" s="113">
        <f t="shared" si="34"/>
        <v>0</v>
      </c>
      <c r="P93" s="113">
        <f t="shared" si="34"/>
        <v>-6</v>
      </c>
      <c r="Q93" s="113">
        <f t="shared" si="34"/>
        <v>5.75</v>
      </c>
      <c r="R93" s="113">
        <f t="shared" si="34"/>
        <v>0</v>
      </c>
      <c r="S93" s="113">
        <f t="shared" si="34"/>
        <v>7</v>
      </c>
      <c r="T93" s="113">
        <f t="shared" si="34"/>
        <v>0</v>
      </c>
      <c r="U93" s="113">
        <f t="shared" si="34"/>
        <v>0</v>
      </c>
      <c r="V93" s="113">
        <f t="shared" si="34"/>
        <v>7</v>
      </c>
      <c r="W93" s="113" t="e">
        <f t="shared" si="34"/>
        <v>#DIV/0!</v>
      </c>
      <c r="X93" s="113">
        <f t="shared" si="34"/>
        <v>7</v>
      </c>
      <c r="Y93" s="113">
        <f t="shared" si="34"/>
        <v>7</v>
      </c>
    </row>
    <row r="94" spans="1:25" ht="12.75" hidden="1" customHeight="1" x14ac:dyDescent="0.2">
      <c r="A94" s="216">
        <f>IF(AND(Verzamelstaat!H26:'Verzamelstaat'!H28),F98,0)</f>
        <v>0</v>
      </c>
      <c r="B94" s="217" t="s">
        <v>185</v>
      </c>
      <c r="C94" s="217"/>
      <c r="D94" s="217"/>
      <c r="E94" s="217"/>
      <c r="F94" s="95">
        <f>Y93</f>
        <v>7</v>
      </c>
      <c r="G94" s="88"/>
      <c r="H94" s="65"/>
      <c r="I94" s="66"/>
    </row>
    <row r="95" spans="1:25" ht="12.75" hidden="1" customHeight="1" x14ac:dyDescent="0.2">
      <c r="A95" s="216"/>
      <c r="B95" s="217" t="s">
        <v>180</v>
      </c>
      <c r="C95" s="217"/>
      <c r="D95" s="217"/>
      <c r="E95" s="217"/>
      <c r="F95" s="86">
        <f>IF(AND(SUM(B93:C93)&gt;=3,F94&gt;5),5,F94)</f>
        <v>7</v>
      </c>
      <c r="G95" s="88"/>
      <c r="H95" s="65"/>
      <c r="I95" s="66"/>
    </row>
    <row r="96" spans="1:25" ht="12.75" hidden="1" customHeight="1" x14ac:dyDescent="0.2">
      <c r="A96" s="216"/>
      <c r="B96" s="217" t="s">
        <v>181</v>
      </c>
      <c r="C96" s="217"/>
      <c r="D96" s="217"/>
      <c r="E96" s="217"/>
      <c r="F96" s="86">
        <f>IF(AND(K93&gt;=1,F95&gt;5),5,F95)</f>
        <v>7</v>
      </c>
      <c r="G96" s="88"/>
      <c r="H96" s="65"/>
      <c r="I96" s="66"/>
    </row>
    <row r="97" spans="1:25" ht="15" hidden="1" customHeight="1" x14ac:dyDescent="0.2">
      <c r="A97" s="216"/>
      <c r="B97" s="217" t="s">
        <v>186</v>
      </c>
      <c r="C97" s="217"/>
      <c r="D97" s="217"/>
      <c r="E97" s="217"/>
      <c r="F97" s="86">
        <f>IF(AND(I93&gt;0,F96&gt;5),5,F96)</f>
        <v>7</v>
      </c>
      <c r="G97" s="88"/>
      <c r="H97" s="65"/>
      <c r="I97" s="66"/>
    </row>
    <row r="98" spans="1:25" ht="15" hidden="1" customHeight="1" x14ac:dyDescent="0.2">
      <c r="A98" s="216"/>
      <c r="B98" s="217" t="s">
        <v>219</v>
      </c>
      <c r="C98" s="217"/>
      <c r="D98" s="217"/>
      <c r="E98" s="217"/>
      <c r="F98" s="120">
        <f>IF(F97=5.5,6,F97)</f>
        <v>7</v>
      </c>
      <c r="G98" s="88"/>
      <c r="H98" s="65"/>
      <c r="I98" s="66"/>
    </row>
    <row r="99" spans="1:25" ht="15" hidden="1" customHeight="1" x14ac:dyDescent="0.2">
      <c r="A99" s="216"/>
      <c r="B99" s="86"/>
      <c r="C99" s="86"/>
      <c r="D99" s="86"/>
      <c r="E99" s="86"/>
      <c r="F99" s="86"/>
      <c r="G99" s="88"/>
      <c r="H99" s="65"/>
      <c r="I99" s="66"/>
    </row>
    <row r="100" spans="1:25" ht="15.75" hidden="1" customHeight="1" x14ac:dyDescent="0.2">
      <c r="A100" s="216"/>
      <c r="B100" s="86"/>
      <c r="C100" s="86"/>
      <c r="D100" s="86"/>
      <c r="E100" s="86"/>
      <c r="F100" s="86"/>
      <c r="G100" s="88"/>
      <c r="H100" s="65"/>
      <c r="I100" s="66"/>
    </row>
    <row r="101" spans="1:25" ht="16.5" hidden="1" customHeight="1" x14ac:dyDescent="0.2">
      <c r="A101" s="216"/>
      <c r="B101" s="86"/>
      <c r="C101" s="86"/>
      <c r="D101" s="86"/>
      <c r="E101" s="86"/>
      <c r="F101" s="86"/>
      <c r="G101" s="88"/>
      <c r="H101" s="65"/>
      <c r="I101" s="66"/>
    </row>
    <row r="102" spans="1:25" ht="17.25" hidden="1" customHeight="1" x14ac:dyDescent="0.2">
      <c r="A102" s="216"/>
      <c r="B102" s="86"/>
      <c r="C102" s="86"/>
      <c r="D102" s="86"/>
      <c r="E102" s="86"/>
      <c r="F102" s="86"/>
      <c r="G102" s="88"/>
      <c r="H102" s="65"/>
      <c r="I102" s="66"/>
    </row>
    <row r="103" spans="1:25" ht="14.25" hidden="1" customHeight="1" x14ac:dyDescent="0.2">
      <c r="A103" s="216"/>
      <c r="B103" s="217"/>
      <c r="C103" s="217"/>
      <c r="D103" s="217"/>
      <c r="E103" s="217"/>
      <c r="F103" s="86"/>
      <c r="G103" s="88"/>
      <c r="H103" s="65"/>
      <c r="I103" s="66"/>
    </row>
    <row r="104" spans="1:25" ht="15" hidden="1" customHeight="1" x14ac:dyDescent="0.2">
      <c r="A104" s="216"/>
      <c r="B104" s="217"/>
      <c r="C104" s="217"/>
      <c r="D104" s="217"/>
      <c r="E104" s="217"/>
      <c r="F104" s="86"/>
      <c r="G104" s="88"/>
      <c r="H104" s="65"/>
      <c r="I104" s="66"/>
    </row>
    <row r="105" spans="1:25" ht="23.25" hidden="1" customHeight="1" x14ac:dyDescent="0.2">
      <c r="A105" s="62" t="s">
        <v>116</v>
      </c>
      <c r="B105" s="64" t="s">
        <v>10</v>
      </c>
      <c r="C105" s="64" t="s">
        <v>11</v>
      </c>
      <c r="D105" s="64" t="s">
        <v>12</v>
      </c>
      <c r="E105" s="64" t="s">
        <v>0</v>
      </c>
      <c r="F105" s="64" t="s">
        <v>1</v>
      </c>
      <c r="G105" s="64"/>
      <c r="H105" s="10" t="s">
        <v>5</v>
      </c>
      <c r="I105" s="10" t="s">
        <v>173</v>
      </c>
      <c r="J105" s="11" t="s">
        <v>174</v>
      </c>
      <c r="K105" s="11" t="s">
        <v>175</v>
      </c>
      <c r="L105" s="11" t="s">
        <v>176</v>
      </c>
      <c r="M105" s="11" t="s">
        <v>178</v>
      </c>
      <c r="N105" s="11" t="s">
        <v>3</v>
      </c>
      <c r="O105" s="11" t="s">
        <v>207</v>
      </c>
      <c r="P105" s="11" t="s">
        <v>208</v>
      </c>
      <c r="Q105" s="11" t="s">
        <v>209</v>
      </c>
      <c r="R105" s="11" t="s">
        <v>210</v>
      </c>
      <c r="S105" s="11" t="s">
        <v>211</v>
      </c>
      <c r="T105" s="11" t="s">
        <v>212</v>
      </c>
      <c r="U105" s="11" t="s">
        <v>213</v>
      </c>
      <c r="V105" s="11" t="s">
        <v>214</v>
      </c>
      <c r="W105" s="11" t="s">
        <v>215</v>
      </c>
      <c r="X105" s="11" t="s">
        <v>182</v>
      </c>
      <c r="Y105" s="11" t="s">
        <v>184</v>
      </c>
    </row>
    <row r="106" spans="1:25" ht="15" hidden="1" customHeight="1" x14ac:dyDescent="0.2">
      <c r="A106" s="4">
        <f>S106</f>
        <v>7</v>
      </c>
      <c r="B106" s="63">
        <f>I27</f>
        <v>0</v>
      </c>
      <c r="C106" s="63">
        <f>J27</f>
        <v>0</v>
      </c>
      <c r="D106" s="63">
        <f>K27</f>
        <v>0</v>
      </c>
      <c r="E106" s="63">
        <f>L27</f>
        <v>0</v>
      </c>
      <c r="F106" s="63">
        <f>M27</f>
        <v>0</v>
      </c>
      <c r="G106" s="88"/>
      <c r="H106" s="63">
        <f t="shared" ref="H106:Y106" si="35">N27</f>
        <v>0</v>
      </c>
      <c r="I106" s="86">
        <f t="shared" si="35"/>
        <v>0</v>
      </c>
      <c r="J106" s="86">
        <f t="shared" si="35"/>
        <v>0</v>
      </c>
      <c r="K106" s="86">
        <f t="shared" si="35"/>
        <v>0</v>
      </c>
      <c r="L106" s="86">
        <f t="shared" si="35"/>
        <v>0</v>
      </c>
      <c r="M106" s="86">
        <f t="shared" si="35"/>
        <v>0</v>
      </c>
      <c r="N106" s="86">
        <f t="shared" si="35"/>
        <v>0</v>
      </c>
      <c r="O106" s="113">
        <f t="shared" si="35"/>
        <v>0</v>
      </c>
      <c r="P106" s="113">
        <f t="shared" si="35"/>
        <v>-6</v>
      </c>
      <c r="Q106" s="113">
        <f t="shared" si="35"/>
        <v>5.75</v>
      </c>
      <c r="R106" s="113">
        <f t="shared" si="35"/>
        <v>0</v>
      </c>
      <c r="S106" s="113">
        <f t="shared" si="35"/>
        <v>7</v>
      </c>
      <c r="T106" s="113">
        <f t="shared" si="35"/>
        <v>0</v>
      </c>
      <c r="U106" s="113">
        <f t="shared" si="35"/>
        <v>0</v>
      </c>
      <c r="V106" s="113">
        <f t="shared" si="35"/>
        <v>7</v>
      </c>
      <c r="W106" s="113" t="e">
        <f t="shared" si="35"/>
        <v>#DIV/0!</v>
      </c>
      <c r="X106" s="113">
        <f t="shared" si="35"/>
        <v>7</v>
      </c>
      <c r="Y106" s="113">
        <f t="shared" si="35"/>
        <v>7</v>
      </c>
    </row>
    <row r="107" spans="1:25" ht="12" hidden="1" customHeight="1" x14ac:dyDescent="0.2">
      <c r="A107" s="216">
        <f>IF(AND(Verzamelstaat!H26:'Verzamelstaat'!H28),F111,0)</f>
        <v>0</v>
      </c>
      <c r="B107" s="217" t="s">
        <v>185</v>
      </c>
      <c r="C107" s="217"/>
      <c r="D107" s="217"/>
      <c r="E107" s="217"/>
      <c r="F107" s="95">
        <f>Y106</f>
        <v>7</v>
      </c>
      <c r="G107" s="88"/>
      <c r="H107" s="65"/>
      <c r="I107" s="66"/>
    </row>
    <row r="108" spans="1:25" ht="12.75" hidden="1" customHeight="1" x14ac:dyDescent="0.2">
      <c r="A108" s="216"/>
      <c r="B108" s="217" t="s">
        <v>188</v>
      </c>
      <c r="C108" s="217"/>
      <c r="D108" s="217"/>
      <c r="E108" s="217"/>
      <c r="F108" s="86">
        <f>IF(AND(SUM(B106:C106)&gt;=3,F107&gt;5),5,F107)</f>
        <v>7</v>
      </c>
      <c r="G108" s="88"/>
      <c r="H108" s="65"/>
      <c r="I108" s="66"/>
    </row>
    <row r="109" spans="1:25" ht="12.75" hidden="1" customHeight="1" x14ac:dyDescent="0.2">
      <c r="A109" s="216"/>
      <c r="B109" s="217" t="s">
        <v>189</v>
      </c>
      <c r="C109" s="217"/>
      <c r="D109" s="217"/>
      <c r="E109" s="217"/>
      <c r="F109" s="86">
        <f>IF(AND(L106&gt;=1,F108&gt;5),5,F108)</f>
        <v>7</v>
      </c>
      <c r="G109" s="88"/>
      <c r="H109" s="65"/>
      <c r="I109" s="66"/>
    </row>
    <row r="110" spans="1:25" ht="15" hidden="1" customHeight="1" x14ac:dyDescent="0.2">
      <c r="A110" s="216"/>
      <c r="B110" s="217" t="s">
        <v>186</v>
      </c>
      <c r="C110" s="217"/>
      <c r="D110" s="217"/>
      <c r="E110" s="217"/>
      <c r="F110" s="86">
        <f>IF(AND(I106&gt;0,F109&gt;5),5,F109)</f>
        <v>7</v>
      </c>
      <c r="G110" s="88"/>
      <c r="H110" s="65"/>
      <c r="I110" s="66"/>
    </row>
    <row r="111" spans="1:25" ht="15" hidden="1" customHeight="1" x14ac:dyDescent="0.2">
      <c r="A111" s="216"/>
      <c r="B111" s="217" t="s">
        <v>219</v>
      </c>
      <c r="C111" s="217"/>
      <c r="D111" s="217"/>
      <c r="E111" s="217"/>
      <c r="F111" s="120">
        <f>IF(F110=5.5,6,F110)</f>
        <v>7</v>
      </c>
      <c r="G111" s="88"/>
      <c r="H111" s="65"/>
      <c r="I111" s="66"/>
    </row>
    <row r="112" spans="1:25" ht="15" hidden="1" customHeight="1" x14ac:dyDescent="0.2">
      <c r="A112" s="216"/>
      <c r="B112" s="86"/>
      <c r="C112" s="86"/>
      <c r="D112" s="86"/>
      <c r="E112" s="86"/>
      <c r="F112" s="86"/>
      <c r="G112" s="88"/>
      <c r="H112" s="65"/>
      <c r="I112" s="66"/>
    </row>
    <row r="113" spans="1:25" ht="15" hidden="1" customHeight="1" x14ac:dyDescent="0.2">
      <c r="A113" s="216"/>
      <c r="B113" s="86"/>
      <c r="C113" s="86"/>
      <c r="D113" s="86"/>
      <c r="E113" s="86"/>
      <c r="F113" s="86"/>
      <c r="G113" s="88"/>
      <c r="H113" s="65"/>
      <c r="I113" s="66"/>
    </row>
    <row r="114" spans="1:25" ht="15" hidden="1" customHeight="1" x14ac:dyDescent="0.2">
      <c r="A114" s="216"/>
      <c r="B114" s="86"/>
      <c r="C114" s="86"/>
      <c r="D114" s="86"/>
      <c r="E114" s="86"/>
      <c r="F114" s="86"/>
      <c r="G114" s="88"/>
      <c r="H114" s="65"/>
      <c r="I114" s="66"/>
    </row>
    <row r="115" spans="1:25" ht="15" hidden="1" customHeight="1" x14ac:dyDescent="0.2">
      <c r="A115" s="216"/>
      <c r="B115" s="86"/>
      <c r="C115" s="86"/>
      <c r="D115" s="86"/>
      <c r="E115" s="86"/>
      <c r="F115" s="86"/>
      <c r="G115" s="88"/>
      <c r="H115" s="65"/>
      <c r="I115" s="66"/>
    </row>
    <row r="116" spans="1:25" ht="14.25" hidden="1" customHeight="1" x14ac:dyDescent="0.2">
      <c r="A116" s="216"/>
      <c r="B116" s="217"/>
      <c r="C116" s="217"/>
      <c r="D116" s="217"/>
      <c r="E116" s="217"/>
      <c r="F116" s="86"/>
      <c r="G116" s="88"/>
      <c r="H116" s="65"/>
      <c r="I116" s="66"/>
    </row>
    <row r="117" spans="1:25" ht="15" hidden="1" customHeight="1" x14ac:dyDescent="0.2">
      <c r="A117" s="216"/>
      <c r="B117" s="217"/>
      <c r="C117" s="217"/>
      <c r="D117" s="217"/>
      <c r="E117" s="217"/>
      <c r="F117" s="86"/>
      <c r="G117" s="88"/>
      <c r="H117" s="65"/>
      <c r="I117" s="66"/>
    </row>
    <row r="118" spans="1:25" ht="31.5" hidden="1" customHeight="1" x14ac:dyDescent="0.2">
      <c r="A118" s="62" t="s">
        <v>158</v>
      </c>
      <c r="B118" s="64" t="s">
        <v>10</v>
      </c>
      <c r="C118" s="64" t="s">
        <v>11</v>
      </c>
      <c r="D118" s="64" t="s">
        <v>12</v>
      </c>
      <c r="E118" s="64" t="s">
        <v>0</v>
      </c>
      <c r="F118" s="64" t="s">
        <v>1</v>
      </c>
      <c r="G118" s="64"/>
      <c r="H118" s="10" t="s">
        <v>5</v>
      </c>
      <c r="I118" s="10" t="s">
        <v>173</v>
      </c>
      <c r="J118" s="11" t="s">
        <v>174</v>
      </c>
      <c r="K118" s="11" t="s">
        <v>175</v>
      </c>
      <c r="L118" s="11" t="s">
        <v>176</v>
      </c>
      <c r="M118" s="11" t="s">
        <v>178</v>
      </c>
      <c r="N118" s="11" t="s">
        <v>3</v>
      </c>
      <c r="O118" s="11" t="s">
        <v>207</v>
      </c>
      <c r="P118" s="11" t="s">
        <v>208</v>
      </c>
      <c r="Q118" s="11" t="s">
        <v>209</v>
      </c>
      <c r="R118" s="11" t="s">
        <v>210</v>
      </c>
      <c r="S118" s="11" t="s">
        <v>211</v>
      </c>
      <c r="T118" s="11" t="s">
        <v>212</v>
      </c>
      <c r="U118" s="11" t="s">
        <v>213</v>
      </c>
      <c r="V118" s="11" t="s">
        <v>214</v>
      </c>
      <c r="W118" s="11" t="s">
        <v>215</v>
      </c>
      <c r="X118" s="11" t="s">
        <v>182</v>
      </c>
      <c r="Y118" s="11" t="s">
        <v>184</v>
      </c>
    </row>
    <row r="119" spans="1:25" ht="15" hidden="1" customHeight="1" x14ac:dyDescent="0.2">
      <c r="A119" s="4">
        <f>S119</f>
        <v>7</v>
      </c>
      <c r="B119" s="63">
        <f>I36</f>
        <v>0</v>
      </c>
      <c r="C119" s="120">
        <f>J36</f>
        <v>0</v>
      </c>
      <c r="D119" s="120">
        <f>K36</f>
        <v>0</v>
      </c>
      <c r="E119" s="120">
        <f>L36</f>
        <v>0</v>
      </c>
      <c r="F119" s="120">
        <f>M36</f>
        <v>0</v>
      </c>
      <c r="G119" s="88"/>
      <c r="H119" s="63">
        <f>N36</f>
        <v>0</v>
      </c>
      <c r="I119" s="120">
        <f t="shared" ref="I119:Y119" si="36">O36</f>
        <v>0</v>
      </c>
      <c r="J119" s="120">
        <f t="shared" si="36"/>
        <v>0</v>
      </c>
      <c r="K119" s="120">
        <f t="shared" si="36"/>
        <v>0</v>
      </c>
      <c r="L119" s="120">
        <f t="shared" si="36"/>
        <v>0</v>
      </c>
      <c r="M119" s="120">
        <f t="shared" si="36"/>
        <v>0</v>
      </c>
      <c r="N119" s="120">
        <f t="shared" si="36"/>
        <v>0</v>
      </c>
      <c r="O119" s="120">
        <f t="shared" si="36"/>
        <v>0</v>
      </c>
      <c r="P119" s="120">
        <f t="shared" si="36"/>
        <v>-6</v>
      </c>
      <c r="Q119" s="120">
        <f t="shared" si="36"/>
        <v>5.75</v>
      </c>
      <c r="R119" s="120">
        <f t="shared" si="36"/>
        <v>0</v>
      </c>
      <c r="S119" s="120">
        <f t="shared" si="36"/>
        <v>7</v>
      </c>
      <c r="T119" s="120">
        <f t="shared" si="36"/>
        <v>0</v>
      </c>
      <c r="U119" s="120">
        <f t="shared" si="36"/>
        <v>0</v>
      </c>
      <c r="V119" s="120">
        <f t="shared" si="36"/>
        <v>7</v>
      </c>
      <c r="W119" s="120" t="e">
        <f t="shared" si="36"/>
        <v>#DIV/0!</v>
      </c>
      <c r="X119" s="120">
        <f t="shared" si="36"/>
        <v>7</v>
      </c>
      <c r="Y119" s="120">
        <f t="shared" si="36"/>
        <v>7</v>
      </c>
    </row>
    <row r="120" spans="1:25" ht="12.75" hidden="1" customHeight="1" x14ac:dyDescent="0.2">
      <c r="A120" s="216">
        <f>IF(AND(Verzamelstaat!H26:'Verzamelstaat'!H28),F124,0)</f>
        <v>0</v>
      </c>
      <c r="B120" s="217" t="s">
        <v>185</v>
      </c>
      <c r="C120" s="217"/>
      <c r="D120" s="217"/>
      <c r="E120" s="217"/>
      <c r="F120" s="95">
        <f>Y119</f>
        <v>7</v>
      </c>
      <c r="G120" s="88"/>
      <c r="H120" s="65"/>
      <c r="I120" s="66"/>
    </row>
    <row r="121" spans="1:25" ht="12.75" hidden="1" customHeight="1" x14ac:dyDescent="0.2">
      <c r="A121" s="216"/>
      <c r="B121" s="217" t="s">
        <v>179</v>
      </c>
      <c r="C121" s="217"/>
      <c r="D121" s="217"/>
      <c r="E121" s="217"/>
      <c r="F121" s="86">
        <f>IF(AND(B132&gt;=3,F120&gt;5),5,F120)</f>
        <v>7</v>
      </c>
      <c r="G121" s="88"/>
      <c r="H121" s="65"/>
      <c r="I121" s="66"/>
    </row>
    <row r="122" spans="1:25" ht="12.75" hidden="1" customHeight="1" x14ac:dyDescent="0.2">
      <c r="A122" s="216"/>
      <c r="B122" s="217" t="s">
        <v>187</v>
      </c>
      <c r="C122" s="217"/>
      <c r="D122" s="217"/>
      <c r="E122" s="217"/>
      <c r="F122" s="86">
        <f>IF(AND(J119&gt;=1,F121&gt;5),5,F121)</f>
        <v>7</v>
      </c>
      <c r="G122" s="88"/>
      <c r="H122" s="65"/>
      <c r="I122" s="66"/>
    </row>
    <row r="123" spans="1:25" ht="15" hidden="1" customHeight="1" x14ac:dyDescent="0.2">
      <c r="A123" s="216"/>
      <c r="B123" s="217" t="s">
        <v>186</v>
      </c>
      <c r="C123" s="217"/>
      <c r="D123" s="217"/>
      <c r="E123" s="217"/>
      <c r="F123" s="86">
        <f>IF(AND(I119&gt;0,F122&gt;5),5,F122)</f>
        <v>7</v>
      </c>
      <c r="G123" s="88"/>
      <c r="H123" s="65"/>
      <c r="I123" s="66"/>
    </row>
    <row r="124" spans="1:25" ht="15" hidden="1" customHeight="1" x14ac:dyDescent="0.2">
      <c r="A124" s="216"/>
      <c r="B124" s="217" t="s">
        <v>219</v>
      </c>
      <c r="C124" s="217"/>
      <c r="D124" s="217"/>
      <c r="E124" s="217"/>
      <c r="F124" s="120">
        <f>IF(F123=5.5,6,F123)</f>
        <v>7</v>
      </c>
      <c r="G124" s="88"/>
      <c r="H124" s="65"/>
      <c r="I124" s="66"/>
    </row>
    <row r="125" spans="1:25" ht="15" hidden="1" customHeight="1" x14ac:dyDescent="0.2">
      <c r="A125" s="216"/>
      <c r="B125" s="86"/>
      <c r="C125" s="86"/>
      <c r="D125" s="86"/>
      <c r="E125" s="86"/>
      <c r="F125" s="86"/>
      <c r="G125" s="88"/>
      <c r="H125" s="65"/>
      <c r="I125" s="66"/>
    </row>
    <row r="126" spans="1:25" ht="15.75" hidden="1" customHeight="1" x14ac:dyDescent="0.2">
      <c r="A126" s="216"/>
      <c r="B126" s="86"/>
      <c r="C126" s="86"/>
      <c r="D126" s="86"/>
      <c r="E126" s="86"/>
      <c r="F126" s="86"/>
      <c r="G126" s="88"/>
      <c r="H126" s="65"/>
      <c r="I126" s="66"/>
    </row>
    <row r="127" spans="1:25" ht="16.5" hidden="1" customHeight="1" x14ac:dyDescent="0.2">
      <c r="A127" s="216"/>
      <c r="B127" s="86"/>
      <c r="C127" s="86"/>
      <c r="D127" s="86"/>
      <c r="E127" s="86"/>
      <c r="F127" s="86"/>
      <c r="G127" s="88"/>
      <c r="H127" s="65"/>
      <c r="I127" s="66"/>
    </row>
    <row r="128" spans="1:25" ht="17.25" hidden="1" customHeight="1" x14ac:dyDescent="0.2">
      <c r="A128" s="216"/>
      <c r="B128" s="86"/>
      <c r="C128" s="86"/>
      <c r="D128" s="86"/>
      <c r="E128" s="86"/>
      <c r="F128" s="86"/>
      <c r="G128" s="88"/>
      <c r="H128" s="65"/>
      <c r="I128" s="66"/>
    </row>
    <row r="129" spans="1:25" ht="14.25" hidden="1" customHeight="1" x14ac:dyDescent="0.2">
      <c r="A129" s="216"/>
      <c r="B129" s="217"/>
      <c r="C129" s="217"/>
      <c r="D129" s="217"/>
      <c r="E129" s="217"/>
      <c r="F129" s="86"/>
      <c r="G129" s="88"/>
      <c r="H129" s="65"/>
      <c r="I129" s="66"/>
    </row>
    <row r="130" spans="1:25" ht="15" hidden="1" customHeight="1" x14ac:dyDescent="0.2">
      <c r="A130" s="216"/>
      <c r="B130" s="217"/>
      <c r="C130" s="217"/>
      <c r="D130" s="217"/>
      <c r="E130" s="217"/>
      <c r="F130" s="86"/>
      <c r="G130" s="88"/>
      <c r="H130" s="65"/>
      <c r="I130" s="66"/>
    </row>
    <row r="131" spans="1:25" ht="33" hidden="1" customHeight="1" x14ac:dyDescent="0.2">
      <c r="A131" s="62" t="s">
        <v>159</v>
      </c>
      <c r="B131" s="64" t="s">
        <v>10</v>
      </c>
      <c r="C131" s="64" t="s">
        <v>11</v>
      </c>
      <c r="D131" s="64" t="s">
        <v>12</v>
      </c>
      <c r="E131" s="64" t="s">
        <v>0</v>
      </c>
      <c r="F131" s="64" t="s">
        <v>1</v>
      </c>
      <c r="G131" s="64"/>
      <c r="H131" s="10" t="s">
        <v>5</v>
      </c>
      <c r="I131" s="10" t="s">
        <v>173</v>
      </c>
      <c r="J131" s="11" t="s">
        <v>174</v>
      </c>
      <c r="K131" s="11" t="s">
        <v>175</v>
      </c>
      <c r="L131" s="11" t="s">
        <v>176</v>
      </c>
      <c r="M131" s="11" t="s">
        <v>178</v>
      </c>
      <c r="N131" s="11" t="s">
        <v>3</v>
      </c>
      <c r="O131" s="11" t="s">
        <v>207</v>
      </c>
      <c r="P131" s="11" t="s">
        <v>208</v>
      </c>
      <c r="Q131" s="11" t="s">
        <v>209</v>
      </c>
      <c r="R131" s="11" t="s">
        <v>210</v>
      </c>
      <c r="S131" s="11" t="s">
        <v>211</v>
      </c>
      <c r="T131" s="11" t="s">
        <v>212</v>
      </c>
      <c r="U131" s="11" t="s">
        <v>213</v>
      </c>
      <c r="V131" s="11" t="s">
        <v>214</v>
      </c>
      <c r="W131" s="11" t="s">
        <v>215</v>
      </c>
      <c r="X131" s="11" t="s">
        <v>182</v>
      </c>
      <c r="Y131" s="11" t="s">
        <v>184</v>
      </c>
    </row>
    <row r="132" spans="1:25" ht="15" hidden="1" customHeight="1" x14ac:dyDescent="0.2">
      <c r="A132" s="4">
        <f>S132</f>
        <v>7</v>
      </c>
      <c r="B132" s="63">
        <f>I36</f>
        <v>0</v>
      </c>
      <c r="C132" s="120">
        <f>J36</f>
        <v>0</v>
      </c>
      <c r="D132" s="120">
        <f>K36</f>
        <v>0</v>
      </c>
      <c r="E132" s="120">
        <f>L36</f>
        <v>0</v>
      </c>
      <c r="F132" s="120">
        <f>M36</f>
        <v>0</v>
      </c>
      <c r="G132" s="88"/>
      <c r="H132" s="63">
        <f>N36</f>
        <v>0</v>
      </c>
      <c r="I132" s="120">
        <f t="shared" ref="I132:Y132" si="37">O36</f>
        <v>0</v>
      </c>
      <c r="J132" s="120">
        <f t="shared" si="37"/>
        <v>0</v>
      </c>
      <c r="K132" s="120">
        <f t="shared" si="37"/>
        <v>0</v>
      </c>
      <c r="L132" s="120">
        <f t="shared" si="37"/>
        <v>0</v>
      </c>
      <c r="M132" s="120">
        <f t="shared" si="37"/>
        <v>0</v>
      </c>
      <c r="N132" s="120">
        <f t="shared" si="37"/>
        <v>0</v>
      </c>
      <c r="O132" s="120">
        <f t="shared" si="37"/>
        <v>0</v>
      </c>
      <c r="P132" s="120">
        <f t="shared" si="37"/>
        <v>-6</v>
      </c>
      <c r="Q132" s="120">
        <f t="shared" si="37"/>
        <v>5.75</v>
      </c>
      <c r="R132" s="120">
        <f t="shared" si="37"/>
        <v>0</v>
      </c>
      <c r="S132" s="120">
        <f t="shared" si="37"/>
        <v>7</v>
      </c>
      <c r="T132" s="120">
        <f t="shared" si="37"/>
        <v>0</v>
      </c>
      <c r="U132" s="120">
        <f t="shared" si="37"/>
        <v>0</v>
      </c>
      <c r="V132" s="120">
        <f t="shared" si="37"/>
        <v>7</v>
      </c>
      <c r="W132" s="120" t="e">
        <f t="shared" si="37"/>
        <v>#DIV/0!</v>
      </c>
      <c r="X132" s="120">
        <f t="shared" si="37"/>
        <v>7</v>
      </c>
      <c r="Y132" s="120">
        <f t="shared" si="37"/>
        <v>7</v>
      </c>
    </row>
    <row r="133" spans="1:25" ht="12.75" hidden="1" customHeight="1" x14ac:dyDescent="0.2">
      <c r="A133" s="216">
        <f>IF(AND(Verzamelstaat!H26:'Verzamelstaat'!H28),F137,0)</f>
        <v>0</v>
      </c>
      <c r="B133" s="217" t="s">
        <v>185</v>
      </c>
      <c r="C133" s="217"/>
      <c r="D133" s="217"/>
      <c r="E133" s="217"/>
      <c r="F133" s="95">
        <f>Y132</f>
        <v>7</v>
      </c>
      <c r="G133" s="88"/>
      <c r="H133" s="65"/>
      <c r="I133" s="66"/>
    </row>
    <row r="134" spans="1:25" ht="12.75" hidden="1" customHeight="1" x14ac:dyDescent="0.2">
      <c r="A134" s="216"/>
      <c r="B134" s="217" t="s">
        <v>180</v>
      </c>
      <c r="C134" s="217"/>
      <c r="D134" s="217"/>
      <c r="E134" s="217"/>
      <c r="F134" s="86">
        <f>IF(AND(SUM(B132:C132)&gt;=3,F133&gt;5),5,F133)</f>
        <v>7</v>
      </c>
      <c r="G134" s="88"/>
      <c r="H134" s="65"/>
      <c r="I134" s="66"/>
    </row>
    <row r="135" spans="1:25" ht="12.75" hidden="1" customHeight="1" x14ac:dyDescent="0.2">
      <c r="A135" s="216"/>
      <c r="B135" s="217" t="s">
        <v>181</v>
      </c>
      <c r="C135" s="217"/>
      <c r="D135" s="217"/>
      <c r="E135" s="217"/>
      <c r="F135" s="86">
        <f>IF(AND(K132&gt;=1,F134&gt;5),5,F134)</f>
        <v>7</v>
      </c>
      <c r="G135" s="88"/>
      <c r="H135" s="65"/>
      <c r="I135" s="66"/>
    </row>
    <row r="136" spans="1:25" ht="15" hidden="1" customHeight="1" x14ac:dyDescent="0.2">
      <c r="A136" s="216"/>
      <c r="B136" s="217" t="s">
        <v>186</v>
      </c>
      <c r="C136" s="217"/>
      <c r="D136" s="217"/>
      <c r="E136" s="217"/>
      <c r="F136" s="86">
        <f>IF(AND(I132&gt;0,F135&gt;5),5,F135)</f>
        <v>7</v>
      </c>
      <c r="G136" s="88"/>
      <c r="H136" s="65"/>
      <c r="I136" s="66"/>
    </row>
    <row r="137" spans="1:25" ht="15" hidden="1" customHeight="1" x14ac:dyDescent="0.2">
      <c r="A137" s="216"/>
      <c r="B137" s="217" t="s">
        <v>219</v>
      </c>
      <c r="C137" s="217"/>
      <c r="D137" s="217"/>
      <c r="E137" s="217"/>
      <c r="F137" s="120">
        <f>IF(F136=5.5,6,F136)</f>
        <v>7</v>
      </c>
      <c r="G137" s="88"/>
      <c r="H137" s="65"/>
      <c r="I137" s="66"/>
    </row>
    <row r="138" spans="1:25" ht="15" hidden="1" customHeight="1" x14ac:dyDescent="0.2">
      <c r="A138" s="216"/>
      <c r="B138" s="86"/>
      <c r="C138" s="86"/>
      <c r="D138" s="86"/>
      <c r="E138" s="86"/>
      <c r="F138" s="86"/>
      <c r="G138" s="88"/>
      <c r="H138" s="65"/>
      <c r="I138" s="66"/>
    </row>
    <row r="139" spans="1:25" ht="15.75" hidden="1" customHeight="1" x14ac:dyDescent="0.2">
      <c r="A139" s="216"/>
      <c r="B139" s="86"/>
      <c r="C139" s="86"/>
      <c r="D139" s="86"/>
      <c r="E139" s="86"/>
      <c r="F139" s="86"/>
      <c r="G139" s="88"/>
      <c r="H139" s="65"/>
      <c r="I139" s="66"/>
    </row>
    <row r="140" spans="1:25" ht="16.5" hidden="1" customHeight="1" x14ac:dyDescent="0.2">
      <c r="A140" s="216"/>
      <c r="B140" s="86"/>
      <c r="C140" s="86"/>
      <c r="D140" s="86"/>
      <c r="E140" s="86"/>
      <c r="F140" s="86"/>
      <c r="G140" s="88"/>
      <c r="H140" s="65"/>
      <c r="I140" s="66"/>
    </row>
    <row r="141" spans="1:25" ht="17.25" hidden="1" customHeight="1" x14ac:dyDescent="0.2">
      <c r="A141" s="216"/>
      <c r="B141" s="86"/>
      <c r="C141" s="86"/>
      <c r="D141" s="86"/>
      <c r="E141" s="86"/>
      <c r="F141" s="86"/>
      <c r="G141" s="88"/>
      <c r="H141" s="65"/>
      <c r="I141" s="66"/>
    </row>
    <row r="142" spans="1:25" ht="14.25" hidden="1" customHeight="1" x14ac:dyDescent="0.2">
      <c r="A142" s="216"/>
      <c r="B142" s="217"/>
      <c r="C142" s="217"/>
      <c r="D142" s="217"/>
      <c r="E142" s="217"/>
      <c r="F142" s="86"/>
      <c r="G142" s="88"/>
      <c r="H142" s="65"/>
      <c r="I142" s="66"/>
    </row>
    <row r="143" spans="1:25" ht="15" hidden="1" customHeight="1" x14ac:dyDescent="0.2">
      <c r="A143" s="216"/>
      <c r="B143" s="217"/>
      <c r="C143" s="217"/>
      <c r="D143" s="217"/>
      <c r="E143" s="217"/>
      <c r="F143" s="86"/>
      <c r="G143" s="88"/>
      <c r="H143" s="65"/>
      <c r="I143" s="66"/>
    </row>
    <row r="144" spans="1:25" ht="33" hidden="1" customHeight="1" x14ac:dyDescent="0.2">
      <c r="A144" s="62" t="s">
        <v>160</v>
      </c>
      <c r="B144" s="64" t="s">
        <v>10</v>
      </c>
      <c r="C144" s="64" t="s">
        <v>11</v>
      </c>
      <c r="D144" s="64" t="s">
        <v>12</v>
      </c>
      <c r="E144" s="64" t="s">
        <v>0</v>
      </c>
      <c r="F144" s="64" t="s">
        <v>1</v>
      </c>
      <c r="G144" s="64"/>
      <c r="H144" s="10" t="s">
        <v>5</v>
      </c>
      <c r="I144" s="10" t="s">
        <v>173</v>
      </c>
      <c r="J144" s="11" t="s">
        <v>174</v>
      </c>
      <c r="K144" s="11" t="s">
        <v>175</v>
      </c>
      <c r="L144" s="11" t="s">
        <v>176</v>
      </c>
      <c r="M144" s="11" t="s">
        <v>178</v>
      </c>
      <c r="N144" s="11" t="s">
        <v>3</v>
      </c>
      <c r="O144" s="11" t="s">
        <v>207</v>
      </c>
      <c r="P144" s="11" t="s">
        <v>208</v>
      </c>
      <c r="Q144" s="11" t="s">
        <v>209</v>
      </c>
      <c r="R144" s="11" t="s">
        <v>210</v>
      </c>
      <c r="S144" s="11" t="s">
        <v>211</v>
      </c>
      <c r="T144" s="11" t="s">
        <v>212</v>
      </c>
      <c r="U144" s="11" t="s">
        <v>213</v>
      </c>
      <c r="V144" s="11" t="s">
        <v>214</v>
      </c>
      <c r="W144" s="11" t="s">
        <v>215</v>
      </c>
      <c r="X144" s="11" t="s">
        <v>182</v>
      </c>
      <c r="Y144" s="11" t="s">
        <v>184</v>
      </c>
    </row>
    <row r="145" spans="1:25" ht="15" hidden="1" customHeight="1" x14ac:dyDescent="0.2">
      <c r="A145" s="4">
        <f>S145</f>
        <v>7</v>
      </c>
      <c r="B145" s="63">
        <f>I36</f>
        <v>0</v>
      </c>
      <c r="C145" s="120">
        <f>J36</f>
        <v>0</v>
      </c>
      <c r="D145" s="120">
        <f>K36</f>
        <v>0</v>
      </c>
      <c r="E145" s="120">
        <f>L36</f>
        <v>0</v>
      </c>
      <c r="F145" s="120">
        <f>M36</f>
        <v>0</v>
      </c>
      <c r="G145" s="88"/>
      <c r="H145" s="63">
        <f>N36</f>
        <v>0</v>
      </c>
      <c r="I145" s="120">
        <f t="shared" ref="I145:Y145" si="38">O36</f>
        <v>0</v>
      </c>
      <c r="J145" s="120">
        <f t="shared" si="38"/>
        <v>0</v>
      </c>
      <c r="K145" s="120">
        <f t="shared" si="38"/>
        <v>0</v>
      </c>
      <c r="L145" s="120">
        <f t="shared" si="38"/>
        <v>0</v>
      </c>
      <c r="M145" s="120">
        <f t="shared" si="38"/>
        <v>0</v>
      </c>
      <c r="N145" s="120">
        <f t="shared" si="38"/>
        <v>0</v>
      </c>
      <c r="O145" s="120">
        <f t="shared" si="38"/>
        <v>0</v>
      </c>
      <c r="P145" s="120">
        <f t="shared" si="38"/>
        <v>-6</v>
      </c>
      <c r="Q145" s="120">
        <f t="shared" si="38"/>
        <v>5.75</v>
      </c>
      <c r="R145" s="120">
        <f t="shared" si="38"/>
        <v>0</v>
      </c>
      <c r="S145" s="120">
        <f t="shared" si="38"/>
        <v>7</v>
      </c>
      <c r="T145" s="120">
        <f t="shared" si="38"/>
        <v>0</v>
      </c>
      <c r="U145" s="120">
        <f t="shared" si="38"/>
        <v>0</v>
      </c>
      <c r="V145" s="120">
        <f t="shared" si="38"/>
        <v>7</v>
      </c>
      <c r="W145" s="120" t="e">
        <f t="shared" si="38"/>
        <v>#DIV/0!</v>
      </c>
      <c r="X145" s="120">
        <f t="shared" si="38"/>
        <v>7</v>
      </c>
      <c r="Y145" s="120">
        <f t="shared" si="38"/>
        <v>7</v>
      </c>
    </row>
    <row r="146" spans="1:25" ht="12" hidden="1" customHeight="1" x14ac:dyDescent="0.2">
      <c r="A146" s="216">
        <f>IF(AND(Verzamelstaat!H26:'Verzamelstaat'!H28),F150,0)</f>
        <v>0</v>
      </c>
      <c r="B146" s="217" t="s">
        <v>185</v>
      </c>
      <c r="C146" s="217"/>
      <c r="D146" s="217"/>
      <c r="E146" s="217"/>
      <c r="F146" s="86">
        <f>Y145</f>
        <v>7</v>
      </c>
      <c r="G146" s="88"/>
      <c r="H146" s="65"/>
      <c r="I146" s="66"/>
    </row>
    <row r="147" spans="1:25" ht="12.75" hidden="1" customHeight="1" x14ac:dyDescent="0.2">
      <c r="A147" s="216"/>
      <c r="B147" s="217" t="s">
        <v>188</v>
      </c>
      <c r="C147" s="217"/>
      <c r="D147" s="217"/>
      <c r="E147" s="217"/>
      <c r="F147" s="86">
        <f>IF(AND(SUM(B145:C145)&gt;=3,F146&gt;5),5,F146)</f>
        <v>7</v>
      </c>
      <c r="G147" s="88"/>
      <c r="H147" s="65"/>
      <c r="I147" s="66"/>
    </row>
    <row r="148" spans="1:25" ht="12.75" hidden="1" customHeight="1" x14ac:dyDescent="0.2">
      <c r="A148" s="216"/>
      <c r="B148" s="217" t="s">
        <v>189</v>
      </c>
      <c r="C148" s="217"/>
      <c r="D148" s="217"/>
      <c r="E148" s="217"/>
      <c r="F148" s="86">
        <f>IF(AND(L145&gt;=1,F147&gt;5),5,F147)</f>
        <v>7</v>
      </c>
      <c r="G148" s="88"/>
      <c r="H148" s="65"/>
      <c r="I148" s="66"/>
    </row>
    <row r="149" spans="1:25" ht="15" hidden="1" customHeight="1" x14ac:dyDescent="0.2">
      <c r="A149" s="216"/>
      <c r="B149" s="217" t="s">
        <v>186</v>
      </c>
      <c r="C149" s="217"/>
      <c r="D149" s="217"/>
      <c r="E149" s="217"/>
      <c r="F149" s="86">
        <f>IF(AND(I145&gt;0,F148&gt;5),5,F148)</f>
        <v>7</v>
      </c>
      <c r="G149" s="88"/>
      <c r="H149" s="65"/>
      <c r="I149" s="66"/>
    </row>
    <row r="150" spans="1:25" ht="15" hidden="1" customHeight="1" x14ac:dyDescent="0.2">
      <c r="A150" s="216"/>
      <c r="B150" s="217" t="s">
        <v>219</v>
      </c>
      <c r="C150" s="217"/>
      <c r="D150" s="217"/>
      <c r="E150" s="217"/>
      <c r="F150" s="120">
        <f>IF(F149=5.5,6,F149)</f>
        <v>7</v>
      </c>
      <c r="G150" s="88"/>
      <c r="H150" s="65"/>
      <c r="I150" s="66"/>
    </row>
    <row r="151" spans="1:25" ht="15" hidden="1" customHeight="1" x14ac:dyDescent="0.2">
      <c r="A151" s="216"/>
      <c r="B151" s="86"/>
      <c r="C151" s="86"/>
      <c r="D151" s="86"/>
      <c r="E151" s="86"/>
      <c r="F151" s="86"/>
      <c r="G151" s="88"/>
      <c r="H151" s="65"/>
      <c r="I151" s="66"/>
    </row>
    <row r="152" spans="1:25" ht="15" hidden="1" customHeight="1" x14ac:dyDescent="0.2">
      <c r="A152" s="216"/>
      <c r="B152" s="86"/>
      <c r="C152" s="86"/>
      <c r="D152" s="86"/>
      <c r="E152" s="86"/>
      <c r="F152" s="86"/>
      <c r="G152" s="88"/>
      <c r="H152" s="65"/>
      <c r="I152" s="66"/>
    </row>
    <row r="153" spans="1:25" ht="15" hidden="1" customHeight="1" x14ac:dyDescent="0.2">
      <c r="A153" s="216"/>
      <c r="B153" s="86"/>
      <c r="C153" s="86"/>
      <c r="D153" s="86"/>
      <c r="E153" s="86"/>
      <c r="F153" s="86"/>
      <c r="G153" s="88"/>
      <c r="H153" s="65"/>
      <c r="I153" s="66"/>
    </row>
    <row r="154" spans="1:25" ht="15" hidden="1" customHeight="1" x14ac:dyDescent="0.2">
      <c r="A154" s="216"/>
      <c r="B154" s="86"/>
      <c r="C154" s="86"/>
      <c r="D154" s="86"/>
      <c r="E154" s="86"/>
      <c r="F154" s="86"/>
      <c r="G154" s="88"/>
      <c r="H154" s="65"/>
      <c r="I154" s="66"/>
    </row>
    <row r="155" spans="1:25" ht="14.25" hidden="1" customHeight="1" x14ac:dyDescent="0.2">
      <c r="A155" s="216"/>
      <c r="B155" s="217"/>
      <c r="C155" s="217"/>
      <c r="D155" s="217"/>
      <c r="E155" s="217"/>
      <c r="F155" s="86"/>
      <c r="G155" s="88"/>
      <c r="H155" s="65"/>
      <c r="I155" s="66"/>
    </row>
    <row r="156" spans="1:25" ht="15" hidden="1" customHeight="1" x14ac:dyDescent="0.2">
      <c r="A156" s="216"/>
      <c r="B156" s="217"/>
      <c r="C156" s="217"/>
      <c r="D156" s="217"/>
      <c r="E156" s="217"/>
      <c r="F156" s="86"/>
      <c r="G156" s="88"/>
      <c r="H156" s="65"/>
      <c r="I156" s="66"/>
    </row>
    <row r="157" spans="1:25" x14ac:dyDescent="0.2">
      <c r="A157" s="63"/>
      <c r="B157" s="63"/>
      <c r="C157" s="63"/>
      <c r="D157" s="63"/>
      <c r="E157" s="63"/>
    </row>
    <row r="158" spans="1:25" x14ac:dyDescent="0.2">
      <c r="A158" s="63"/>
      <c r="B158" s="63"/>
      <c r="C158" s="63"/>
      <c r="D158" s="63"/>
      <c r="E158" s="63"/>
    </row>
    <row r="159" spans="1:25" x14ac:dyDescent="0.2">
      <c r="B159" s="63"/>
      <c r="C159" s="63"/>
      <c r="D159" s="63"/>
      <c r="E159" s="63"/>
    </row>
    <row r="160" spans="1:25" x14ac:dyDescent="0.2">
      <c r="B160" s="63"/>
      <c r="C160" s="63"/>
      <c r="D160" s="63"/>
      <c r="E160" s="63"/>
    </row>
    <row r="161" spans="2:5" ht="15.75" customHeight="1" x14ac:dyDescent="0.2">
      <c r="B161" s="63"/>
      <c r="C161" s="63"/>
      <c r="D161" s="63"/>
      <c r="E161" s="63"/>
    </row>
    <row r="162" spans="2:5" x14ac:dyDescent="0.2">
      <c r="B162" s="63"/>
      <c r="C162" s="63"/>
      <c r="D162" s="63"/>
      <c r="E162" s="63"/>
    </row>
    <row r="163" spans="2:5" x14ac:dyDescent="0.2">
      <c r="B163" s="63"/>
      <c r="C163" s="63"/>
      <c r="D163" s="63"/>
      <c r="E163" s="63"/>
    </row>
    <row r="164" spans="2:5" x14ac:dyDescent="0.2">
      <c r="B164" s="63"/>
      <c r="C164" s="63"/>
      <c r="D164" s="63"/>
      <c r="E164" s="63"/>
    </row>
  </sheetData>
  <sheetProtection algorithmName="SHA-512" hashValue="scu+t4+jtTgb1gwP6Un8KRVChEMNwXkEss1YVLlW9YzcLlhTjqHVgORz5w22AoYgQgB5hX85e+wtw9z16Td06A==" saltValue="6062dJBY0rq3I1czPYPXfw==" spinCount="100000" sheet="1" selectLockedCells="1"/>
  <mergeCells count="77">
    <mergeCell ref="B124:E124"/>
    <mergeCell ref="B137:E137"/>
    <mergeCell ref="B150:E150"/>
    <mergeCell ref="B123:E123"/>
    <mergeCell ref="B129:E129"/>
    <mergeCell ref="B130:E130"/>
    <mergeCell ref="A107:A117"/>
    <mergeCell ref="B107:E107"/>
    <mergeCell ref="B108:E108"/>
    <mergeCell ref="B109:E109"/>
    <mergeCell ref="B110:E110"/>
    <mergeCell ref="B111:E111"/>
    <mergeCell ref="B116:E116"/>
    <mergeCell ref="B117:E117"/>
    <mergeCell ref="A133:A143"/>
    <mergeCell ref="B133:E133"/>
    <mergeCell ref="B134:E134"/>
    <mergeCell ref="B135:E135"/>
    <mergeCell ref="B136:E136"/>
    <mergeCell ref="B142:E142"/>
    <mergeCell ref="B143:E143"/>
    <mergeCell ref="A146:A156"/>
    <mergeCell ref="B146:E146"/>
    <mergeCell ref="B147:E147"/>
    <mergeCell ref="B148:E148"/>
    <mergeCell ref="B149:E149"/>
    <mergeCell ref="B155:E155"/>
    <mergeCell ref="B156:E156"/>
    <mergeCell ref="A120:A130"/>
    <mergeCell ref="B120:E120"/>
    <mergeCell ref="B121:E121"/>
    <mergeCell ref="B122:E122"/>
    <mergeCell ref="A1:F1"/>
    <mergeCell ref="A81:A91"/>
    <mergeCell ref="B81:E81"/>
    <mergeCell ref="B82:E82"/>
    <mergeCell ref="B83:E83"/>
    <mergeCell ref="B84:E84"/>
    <mergeCell ref="B90:E90"/>
    <mergeCell ref="B91:E91"/>
    <mergeCell ref="A94:A104"/>
    <mergeCell ref="B94:E94"/>
    <mergeCell ref="B95:E95"/>
    <mergeCell ref="B96:E96"/>
    <mergeCell ref="B103:E103"/>
    <mergeCell ref="B104:E104"/>
    <mergeCell ref="A68:A78"/>
    <mergeCell ref="B68:E68"/>
    <mergeCell ref="B70:E70"/>
    <mergeCell ref="B71:E71"/>
    <mergeCell ref="B77:E77"/>
    <mergeCell ref="B78:E78"/>
    <mergeCell ref="B72:E72"/>
    <mergeCell ref="B85:E85"/>
    <mergeCell ref="B98:E98"/>
    <mergeCell ref="B69:E69"/>
    <mergeCell ref="B55:E55"/>
    <mergeCell ref="B65:E65"/>
    <mergeCell ref="B57:E57"/>
    <mergeCell ref="B97:E97"/>
    <mergeCell ref="B59:E59"/>
    <mergeCell ref="A55:A65"/>
    <mergeCell ref="A4:F4"/>
    <mergeCell ref="A27:F27"/>
    <mergeCell ref="B51:E51"/>
    <mergeCell ref="B52:E52"/>
    <mergeCell ref="B42:E42"/>
    <mergeCell ref="B45:E45"/>
    <mergeCell ref="A16:F16"/>
    <mergeCell ref="B58:E58"/>
    <mergeCell ref="B56:E56"/>
    <mergeCell ref="A38:F38"/>
    <mergeCell ref="A42:A52"/>
    <mergeCell ref="B43:E43"/>
    <mergeCell ref="B44:E44"/>
    <mergeCell ref="B64:E64"/>
    <mergeCell ref="B46:E46"/>
  </mergeCells>
  <conditionalFormatting sqref="F6:F18 F20:F35">
    <cfRule type="expression" dxfId="74" priority="106">
      <formula>OR($H6=8,$H6=9)</formula>
    </cfRule>
  </conditionalFormatting>
  <conditionalFormatting sqref="C6:C18 C20:C35">
    <cfRule type="expression" dxfId="73" priority="72">
      <formula>OR($H6=2,$H6=3,$H6=4)</formula>
    </cfRule>
  </conditionalFormatting>
  <conditionalFormatting sqref="E6:E18 E20:E35">
    <cfRule type="expression" dxfId="72" priority="71">
      <formula>OR($H6=6,$H6=7,$H6=8)</formula>
    </cfRule>
  </conditionalFormatting>
  <conditionalFormatting sqref="D6:D18 D20:D35">
    <cfRule type="expression" dxfId="71" priority="70">
      <formula>OR($H6=4,$H6=5,$H6=6)</formula>
    </cfRule>
  </conditionalFormatting>
  <conditionalFormatting sqref="B9">
    <cfRule type="expression" dxfId="70" priority="50">
      <formula>OR($H9=1,$H9=2)</formula>
    </cfRule>
  </conditionalFormatting>
  <conditionalFormatting sqref="A6:A15 A18:A26 A29:A35">
    <cfRule type="expression" dxfId="69" priority="39">
      <formula>NOT(G6)</formula>
    </cfRule>
  </conditionalFormatting>
  <conditionalFormatting sqref="C2:F2">
    <cfRule type="expression" dxfId="68" priority="24">
      <formula>H2</formula>
    </cfRule>
    <cfRule type="expression" dxfId="67" priority="33">
      <formula>NOT(H2)</formula>
    </cfRule>
  </conditionalFormatting>
  <conditionalFormatting sqref="A2">
    <cfRule type="expression" dxfId="66" priority="117">
      <formula>NOT(G2)</formula>
    </cfRule>
    <cfRule type="expression" dxfId="65" priority="118">
      <formula>AND(G2)</formula>
    </cfRule>
  </conditionalFormatting>
  <conditionalFormatting sqref="C3">
    <cfRule type="expression" dxfId="64" priority="121">
      <formula>(G3=1)</formula>
    </cfRule>
  </conditionalFormatting>
  <conditionalFormatting sqref="D3">
    <cfRule type="expression" dxfId="63" priority="122">
      <formula>(G3=2)</formula>
    </cfRule>
  </conditionalFormatting>
  <conditionalFormatting sqref="E3">
    <cfRule type="expression" dxfId="62" priority="123">
      <formula>(G3=3)</formula>
    </cfRule>
  </conditionalFormatting>
  <conditionalFormatting sqref="F19">
    <cfRule type="expression" dxfId="61" priority="20">
      <formula>OR($H19=8,$H19=9)</formula>
    </cfRule>
  </conditionalFormatting>
  <conditionalFormatting sqref="C19">
    <cfRule type="expression" dxfId="60" priority="19">
      <formula>OR($H19=2,$H19=3,$H19=4)</formula>
    </cfRule>
  </conditionalFormatting>
  <conditionalFormatting sqref="E19">
    <cfRule type="expression" dxfId="59" priority="18">
      <formula>OR($H19=6,$H19=7,$H19=8)</formula>
    </cfRule>
  </conditionalFormatting>
  <conditionalFormatting sqref="D19">
    <cfRule type="expression" dxfId="58" priority="17">
      <formula>OR($H19=4,$H19=5,$H19=6)</formula>
    </cfRule>
  </conditionalFormatting>
  <conditionalFormatting sqref="B19:B23 B25 B26">
    <cfRule type="expression" dxfId="57" priority="16">
      <formula>OR($H19=1,$H19=2)</formula>
    </cfRule>
  </conditionalFormatting>
  <conditionalFormatting sqref="B8">
    <cfRule type="expression" dxfId="56" priority="15">
      <formula>OR($H8=1,$H8=2)</formula>
    </cfRule>
  </conditionalFormatting>
  <conditionalFormatting sqref="B14">
    <cfRule type="expression" dxfId="55" priority="12">
      <formula>OR($H14=1,$H14=2)</formula>
    </cfRule>
  </conditionalFormatting>
  <conditionalFormatting sqref="B15">
    <cfRule type="expression" dxfId="54" priority="10">
      <formula>OR($H15=1,$H15=2)</formula>
    </cfRule>
  </conditionalFormatting>
  <conditionalFormatting sqref="B7">
    <cfRule type="expression" dxfId="53" priority="9">
      <formula>OR(H7=1,H7=2)</formula>
    </cfRule>
  </conditionalFormatting>
  <conditionalFormatting sqref="B10">
    <cfRule type="expression" dxfId="52" priority="8">
      <formula>OR(H10=1,H10=2)</formula>
    </cfRule>
  </conditionalFormatting>
  <conditionalFormatting sqref="B11">
    <cfRule type="expression" dxfId="51" priority="7">
      <formula>OR(H11=1,H11=2)</formula>
    </cfRule>
  </conditionalFormatting>
  <conditionalFormatting sqref="B13">
    <cfRule type="expression" dxfId="50" priority="6">
      <formula>OR(H13=1,H13=2)</formula>
    </cfRule>
  </conditionalFormatting>
  <conditionalFormatting sqref="B12">
    <cfRule type="expression" dxfId="49" priority="5">
      <formula>OR(H12=1,H12=2)</formula>
    </cfRule>
  </conditionalFormatting>
  <conditionalFormatting sqref="B6">
    <cfRule type="expression" dxfId="48" priority="4">
      <formula>OR(H6=1,H6=2)</formula>
    </cfRule>
  </conditionalFormatting>
  <conditionalFormatting sqref="B18 B24">
    <cfRule type="expression" dxfId="47" priority="3">
      <formula>OR(H18=1,H18=2)</formula>
    </cfRule>
  </conditionalFormatting>
  <conditionalFormatting sqref="B29 B31 B33 B34">
    <cfRule type="expression" dxfId="46" priority="2">
      <formula>OR(H29=1,H29=2)</formula>
    </cfRule>
  </conditionalFormatting>
  <conditionalFormatting sqref="B32 B30 B35">
    <cfRule type="expression" dxfId="45" priority="1">
      <formula>OR(H30=1,H30=2)</formula>
    </cfRule>
  </conditionalFormatting>
  <pageMargins left="0.70866141732283472" right="0.70866141732283472" top="0.74803149606299213" bottom="0.74803149606299213" header="0.31496062992125984" footer="0.31496062992125984"/>
  <pageSetup paperSize="9" scale="80" orientation="landscape" r:id="rId1"/>
  <rowBreaks count="4" manualBreakCount="4">
    <brk id="3" max="16383" man="1"/>
    <brk id="15" max="16383" man="1"/>
    <brk id="26" max="16383" man="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Scroll Bar 2">
              <controlPr locked="0" defaultSize="0" autoPict="0">
                <anchor moveWithCells="1">
                  <from>
                    <xdr:col>0</xdr:col>
                    <xdr:colOff>0</xdr:colOff>
                    <xdr:row>5</xdr:row>
                    <xdr:rowOff>752475</xdr:rowOff>
                  </from>
                  <to>
                    <xdr:col>31</xdr:col>
                    <xdr:colOff>114300</xdr:colOff>
                    <xdr:row>6</xdr:row>
                    <xdr:rowOff>0</xdr:rowOff>
                  </to>
                </anchor>
              </controlPr>
            </control>
          </mc:Choice>
        </mc:AlternateContent>
        <mc:AlternateContent xmlns:mc="http://schemas.openxmlformats.org/markup-compatibility/2006">
          <mc:Choice Requires="x14">
            <control shapeId="1028" r:id="rId5" name="Scroll Bar 4">
              <controlPr locked="0" defaultSize="0" autoPict="0">
                <anchor moveWithCells="1">
                  <from>
                    <xdr:col>0</xdr:col>
                    <xdr:colOff>19050</xdr:colOff>
                    <xdr:row>6</xdr:row>
                    <xdr:rowOff>714375</xdr:rowOff>
                  </from>
                  <to>
                    <xdr:col>31</xdr:col>
                    <xdr:colOff>123825</xdr:colOff>
                    <xdr:row>6</xdr:row>
                    <xdr:rowOff>904875</xdr:rowOff>
                  </to>
                </anchor>
              </controlPr>
            </control>
          </mc:Choice>
        </mc:AlternateContent>
        <mc:AlternateContent xmlns:mc="http://schemas.openxmlformats.org/markup-compatibility/2006">
          <mc:Choice Requires="x14">
            <control shapeId="1029" r:id="rId6" name="Scroll Bar 5">
              <controlPr defaultSize="0" autoPict="0">
                <anchor moveWithCells="1">
                  <from>
                    <xdr:col>0</xdr:col>
                    <xdr:colOff>0</xdr:colOff>
                    <xdr:row>7</xdr:row>
                    <xdr:rowOff>638175</xdr:rowOff>
                  </from>
                  <to>
                    <xdr:col>31</xdr:col>
                    <xdr:colOff>104775</xdr:colOff>
                    <xdr:row>8</xdr:row>
                    <xdr:rowOff>0</xdr:rowOff>
                  </to>
                </anchor>
              </controlPr>
            </control>
          </mc:Choice>
        </mc:AlternateContent>
        <mc:AlternateContent xmlns:mc="http://schemas.openxmlformats.org/markup-compatibility/2006">
          <mc:Choice Requires="x14">
            <control shapeId="1030" r:id="rId7" name="Scroll Bar 6">
              <controlPr defaultSize="0" autoPict="0">
                <anchor moveWithCells="1">
                  <from>
                    <xdr:col>0</xdr:col>
                    <xdr:colOff>0</xdr:colOff>
                    <xdr:row>8</xdr:row>
                    <xdr:rowOff>666750</xdr:rowOff>
                  </from>
                  <to>
                    <xdr:col>31</xdr:col>
                    <xdr:colOff>114300</xdr:colOff>
                    <xdr:row>9</xdr:row>
                    <xdr:rowOff>0</xdr:rowOff>
                  </to>
                </anchor>
              </controlPr>
            </control>
          </mc:Choice>
        </mc:AlternateContent>
        <mc:AlternateContent xmlns:mc="http://schemas.openxmlformats.org/markup-compatibility/2006">
          <mc:Choice Requires="x14">
            <control shapeId="1062" r:id="rId8" name="Scroll Bar 38">
              <controlPr locked="0" defaultSize="0" autoPict="0">
                <anchor moveWithCells="1">
                  <from>
                    <xdr:col>0</xdr:col>
                    <xdr:colOff>9525</xdr:colOff>
                    <xdr:row>9</xdr:row>
                    <xdr:rowOff>904875</xdr:rowOff>
                  </from>
                  <to>
                    <xdr:col>31</xdr:col>
                    <xdr:colOff>114300</xdr:colOff>
                    <xdr:row>10</xdr:row>
                    <xdr:rowOff>0</xdr:rowOff>
                  </to>
                </anchor>
              </controlPr>
            </control>
          </mc:Choice>
        </mc:AlternateContent>
        <mc:AlternateContent xmlns:mc="http://schemas.openxmlformats.org/markup-compatibility/2006">
          <mc:Choice Requires="x14">
            <control shapeId="1071" r:id="rId9" name="Scroll Bar 47">
              <controlPr defaultSize="0" autoPict="0">
                <anchor moveWithCells="1">
                  <from>
                    <xdr:col>0</xdr:col>
                    <xdr:colOff>19050</xdr:colOff>
                    <xdr:row>10</xdr:row>
                    <xdr:rowOff>771525</xdr:rowOff>
                  </from>
                  <to>
                    <xdr:col>31</xdr:col>
                    <xdr:colOff>142875</xdr:colOff>
                    <xdr:row>10</xdr:row>
                    <xdr:rowOff>981075</xdr:rowOff>
                  </to>
                </anchor>
              </controlPr>
            </control>
          </mc:Choice>
        </mc:AlternateContent>
        <mc:AlternateContent xmlns:mc="http://schemas.openxmlformats.org/markup-compatibility/2006">
          <mc:Choice Requires="x14">
            <control shapeId="1074" r:id="rId10" name="Scroll Bar 50">
              <controlPr defaultSize="0" autoPict="0">
                <anchor moveWithCells="1">
                  <from>
                    <xdr:col>0</xdr:col>
                    <xdr:colOff>0</xdr:colOff>
                    <xdr:row>11</xdr:row>
                    <xdr:rowOff>847725</xdr:rowOff>
                  </from>
                  <to>
                    <xdr:col>31</xdr:col>
                    <xdr:colOff>133350</xdr:colOff>
                    <xdr:row>12</xdr:row>
                    <xdr:rowOff>0</xdr:rowOff>
                  </to>
                </anchor>
              </controlPr>
            </control>
          </mc:Choice>
        </mc:AlternateContent>
        <mc:AlternateContent xmlns:mc="http://schemas.openxmlformats.org/markup-compatibility/2006">
          <mc:Choice Requires="x14">
            <control shapeId="1075" r:id="rId11" name="Scroll Bar 51">
              <controlPr defaultSize="0" autoPict="0">
                <anchor moveWithCells="1">
                  <from>
                    <xdr:col>0</xdr:col>
                    <xdr:colOff>0</xdr:colOff>
                    <xdr:row>12</xdr:row>
                    <xdr:rowOff>590550</xdr:rowOff>
                  </from>
                  <to>
                    <xdr:col>31</xdr:col>
                    <xdr:colOff>123825</xdr:colOff>
                    <xdr:row>13</xdr:row>
                    <xdr:rowOff>0</xdr:rowOff>
                  </to>
                </anchor>
              </controlPr>
            </control>
          </mc:Choice>
        </mc:AlternateContent>
        <mc:AlternateContent xmlns:mc="http://schemas.openxmlformats.org/markup-compatibility/2006">
          <mc:Choice Requires="x14">
            <control shapeId="1076" r:id="rId12" name="Scroll Bar 52">
              <controlPr defaultSize="0" autoPict="0">
                <anchor moveWithCells="1">
                  <from>
                    <xdr:col>0</xdr:col>
                    <xdr:colOff>28575</xdr:colOff>
                    <xdr:row>13</xdr:row>
                    <xdr:rowOff>1190625</xdr:rowOff>
                  </from>
                  <to>
                    <xdr:col>5</xdr:col>
                    <xdr:colOff>142875</xdr:colOff>
                    <xdr:row>13</xdr:row>
                    <xdr:rowOff>1390650</xdr:rowOff>
                  </to>
                </anchor>
              </controlPr>
            </control>
          </mc:Choice>
        </mc:AlternateContent>
        <mc:AlternateContent xmlns:mc="http://schemas.openxmlformats.org/markup-compatibility/2006">
          <mc:Choice Requires="x14">
            <control shapeId="1077" r:id="rId13" name="Scroll Bar 53">
              <controlPr defaultSize="0" autoPict="0">
                <anchor moveWithCells="1">
                  <from>
                    <xdr:col>0</xdr:col>
                    <xdr:colOff>0</xdr:colOff>
                    <xdr:row>14</xdr:row>
                    <xdr:rowOff>790575</xdr:rowOff>
                  </from>
                  <to>
                    <xdr:col>31</xdr:col>
                    <xdr:colOff>142875</xdr:colOff>
                    <xdr:row>15</xdr:row>
                    <xdr:rowOff>0</xdr:rowOff>
                  </to>
                </anchor>
              </controlPr>
            </control>
          </mc:Choice>
        </mc:AlternateContent>
        <mc:AlternateContent xmlns:mc="http://schemas.openxmlformats.org/markup-compatibility/2006">
          <mc:Choice Requires="x14">
            <control shapeId="1086" r:id="rId14" name="Scroll Bar 62">
              <controlPr locked="0" defaultSize="0" autoPict="0">
                <anchor moveWithCells="1">
                  <from>
                    <xdr:col>0</xdr:col>
                    <xdr:colOff>19050</xdr:colOff>
                    <xdr:row>17</xdr:row>
                    <xdr:rowOff>847725</xdr:rowOff>
                  </from>
                  <to>
                    <xdr:col>31</xdr:col>
                    <xdr:colOff>114300</xdr:colOff>
                    <xdr:row>17</xdr:row>
                    <xdr:rowOff>1009650</xdr:rowOff>
                  </to>
                </anchor>
              </controlPr>
            </control>
          </mc:Choice>
        </mc:AlternateContent>
        <mc:AlternateContent xmlns:mc="http://schemas.openxmlformats.org/markup-compatibility/2006">
          <mc:Choice Requires="x14">
            <control shapeId="1087" r:id="rId15" name="Scroll Bar 63">
              <controlPr locked="0" defaultSize="0" autoPict="0">
                <anchor moveWithCells="1">
                  <from>
                    <xdr:col>0</xdr:col>
                    <xdr:colOff>19050</xdr:colOff>
                    <xdr:row>18</xdr:row>
                    <xdr:rowOff>933450</xdr:rowOff>
                  </from>
                  <to>
                    <xdr:col>31</xdr:col>
                    <xdr:colOff>133350</xdr:colOff>
                    <xdr:row>18</xdr:row>
                    <xdr:rowOff>1114425</xdr:rowOff>
                  </to>
                </anchor>
              </controlPr>
            </control>
          </mc:Choice>
        </mc:AlternateContent>
        <mc:AlternateContent xmlns:mc="http://schemas.openxmlformats.org/markup-compatibility/2006">
          <mc:Choice Requires="x14">
            <control shapeId="1088" r:id="rId16" name="Scroll Bar 64">
              <controlPr defaultSize="0" autoPict="0">
                <anchor moveWithCells="1">
                  <from>
                    <xdr:col>0</xdr:col>
                    <xdr:colOff>0</xdr:colOff>
                    <xdr:row>19</xdr:row>
                    <xdr:rowOff>647700</xdr:rowOff>
                  </from>
                  <to>
                    <xdr:col>31</xdr:col>
                    <xdr:colOff>133350</xdr:colOff>
                    <xdr:row>20</xdr:row>
                    <xdr:rowOff>0</xdr:rowOff>
                  </to>
                </anchor>
              </controlPr>
            </control>
          </mc:Choice>
        </mc:AlternateContent>
        <mc:AlternateContent xmlns:mc="http://schemas.openxmlformats.org/markup-compatibility/2006">
          <mc:Choice Requires="x14">
            <control shapeId="1089" r:id="rId17" name="Scroll Bar 65">
              <controlPr defaultSize="0" autoPict="0">
                <anchor moveWithCells="1">
                  <from>
                    <xdr:col>0</xdr:col>
                    <xdr:colOff>19050</xdr:colOff>
                    <xdr:row>20</xdr:row>
                    <xdr:rowOff>514350</xdr:rowOff>
                  </from>
                  <to>
                    <xdr:col>31</xdr:col>
                    <xdr:colOff>133350</xdr:colOff>
                    <xdr:row>20</xdr:row>
                    <xdr:rowOff>685800</xdr:rowOff>
                  </to>
                </anchor>
              </controlPr>
            </control>
          </mc:Choice>
        </mc:AlternateContent>
        <mc:AlternateContent xmlns:mc="http://schemas.openxmlformats.org/markup-compatibility/2006">
          <mc:Choice Requires="x14">
            <control shapeId="1090" r:id="rId18" name="Scroll Bar 66">
              <controlPr locked="0" defaultSize="0" autoPict="0">
                <anchor moveWithCells="1">
                  <from>
                    <xdr:col>0</xdr:col>
                    <xdr:colOff>0</xdr:colOff>
                    <xdr:row>21</xdr:row>
                    <xdr:rowOff>781050</xdr:rowOff>
                  </from>
                  <to>
                    <xdr:col>31</xdr:col>
                    <xdr:colOff>76200</xdr:colOff>
                    <xdr:row>22</xdr:row>
                    <xdr:rowOff>0</xdr:rowOff>
                  </to>
                </anchor>
              </controlPr>
            </control>
          </mc:Choice>
        </mc:AlternateContent>
        <mc:AlternateContent xmlns:mc="http://schemas.openxmlformats.org/markup-compatibility/2006">
          <mc:Choice Requires="x14">
            <control shapeId="1091" r:id="rId19" name="Scroll Bar 67">
              <controlPr defaultSize="0" autoPict="0">
                <anchor moveWithCells="1">
                  <from>
                    <xdr:col>0</xdr:col>
                    <xdr:colOff>0</xdr:colOff>
                    <xdr:row>22</xdr:row>
                    <xdr:rowOff>790575</xdr:rowOff>
                  </from>
                  <to>
                    <xdr:col>31</xdr:col>
                    <xdr:colOff>133350</xdr:colOff>
                    <xdr:row>23</xdr:row>
                    <xdr:rowOff>0</xdr:rowOff>
                  </to>
                </anchor>
              </controlPr>
            </control>
          </mc:Choice>
        </mc:AlternateContent>
        <mc:AlternateContent xmlns:mc="http://schemas.openxmlformats.org/markup-compatibility/2006">
          <mc:Choice Requires="x14">
            <control shapeId="1092" r:id="rId20" name="Scroll Bar 68">
              <controlPr defaultSize="0" autoPict="0">
                <anchor moveWithCells="1">
                  <from>
                    <xdr:col>0</xdr:col>
                    <xdr:colOff>9525</xdr:colOff>
                    <xdr:row>23</xdr:row>
                    <xdr:rowOff>828675</xdr:rowOff>
                  </from>
                  <to>
                    <xdr:col>31</xdr:col>
                    <xdr:colOff>142875</xdr:colOff>
                    <xdr:row>24</xdr:row>
                    <xdr:rowOff>0</xdr:rowOff>
                  </to>
                </anchor>
              </controlPr>
            </control>
          </mc:Choice>
        </mc:AlternateContent>
        <mc:AlternateContent xmlns:mc="http://schemas.openxmlformats.org/markup-compatibility/2006">
          <mc:Choice Requires="x14">
            <control shapeId="1093" r:id="rId21" name="Scroll Bar 69">
              <controlPr defaultSize="0" autoPict="0">
                <anchor moveWithCells="1">
                  <from>
                    <xdr:col>0</xdr:col>
                    <xdr:colOff>19050</xdr:colOff>
                    <xdr:row>24</xdr:row>
                    <xdr:rowOff>790575</xdr:rowOff>
                  </from>
                  <to>
                    <xdr:col>31</xdr:col>
                    <xdr:colOff>104775</xdr:colOff>
                    <xdr:row>25</xdr:row>
                    <xdr:rowOff>0</xdr:rowOff>
                  </to>
                </anchor>
              </controlPr>
            </control>
          </mc:Choice>
        </mc:AlternateContent>
        <mc:AlternateContent xmlns:mc="http://schemas.openxmlformats.org/markup-compatibility/2006">
          <mc:Choice Requires="x14">
            <control shapeId="1094" r:id="rId22" name="Scroll Bar 70">
              <controlPr defaultSize="0" autoPict="0">
                <anchor moveWithCells="1">
                  <from>
                    <xdr:col>0</xdr:col>
                    <xdr:colOff>19050</xdr:colOff>
                    <xdr:row>25</xdr:row>
                    <xdr:rowOff>790575</xdr:rowOff>
                  </from>
                  <to>
                    <xdr:col>31</xdr:col>
                    <xdr:colOff>142875</xdr:colOff>
                    <xdr:row>25</xdr:row>
                    <xdr:rowOff>971550</xdr:rowOff>
                  </to>
                </anchor>
              </controlPr>
            </control>
          </mc:Choice>
        </mc:AlternateContent>
        <mc:AlternateContent xmlns:mc="http://schemas.openxmlformats.org/markup-compatibility/2006">
          <mc:Choice Requires="x14">
            <control shapeId="1105" r:id="rId23" name="Scroll Bar 81">
              <controlPr locked="0" defaultSize="0" autoPict="0">
                <anchor moveWithCells="1">
                  <from>
                    <xdr:col>0</xdr:col>
                    <xdr:colOff>9525</xdr:colOff>
                    <xdr:row>28</xdr:row>
                    <xdr:rowOff>828675</xdr:rowOff>
                  </from>
                  <to>
                    <xdr:col>5</xdr:col>
                    <xdr:colOff>142875</xdr:colOff>
                    <xdr:row>28</xdr:row>
                    <xdr:rowOff>1019175</xdr:rowOff>
                  </to>
                </anchor>
              </controlPr>
            </control>
          </mc:Choice>
        </mc:AlternateContent>
        <mc:AlternateContent xmlns:mc="http://schemas.openxmlformats.org/markup-compatibility/2006">
          <mc:Choice Requires="x14">
            <control shapeId="1106" r:id="rId24" name="Scroll Bar 82">
              <controlPr locked="0" defaultSize="0" autoPict="0">
                <anchor moveWithCells="1">
                  <from>
                    <xdr:col>0</xdr:col>
                    <xdr:colOff>0</xdr:colOff>
                    <xdr:row>29</xdr:row>
                    <xdr:rowOff>1238250</xdr:rowOff>
                  </from>
                  <to>
                    <xdr:col>31</xdr:col>
                    <xdr:colOff>104775</xdr:colOff>
                    <xdr:row>29</xdr:row>
                    <xdr:rowOff>1438275</xdr:rowOff>
                  </to>
                </anchor>
              </controlPr>
            </control>
          </mc:Choice>
        </mc:AlternateContent>
        <mc:AlternateContent xmlns:mc="http://schemas.openxmlformats.org/markup-compatibility/2006">
          <mc:Choice Requires="x14">
            <control shapeId="1107" r:id="rId25" name="Scroll Bar 83">
              <controlPr defaultSize="0" autoPict="0">
                <anchor moveWithCells="1">
                  <from>
                    <xdr:col>0</xdr:col>
                    <xdr:colOff>0</xdr:colOff>
                    <xdr:row>30</xdr:row>
                    <xdr:rowOff>1171575</xdr:rowOff>
                  </from>
                  <to>
                    <xdr:col>31</xdr:col>
                    <xdr:colOff>114300</xdr:colOff>
                    <xdr:row>31</xdr:row>
                    <xdr:rowOff>0</xdr:rowOff>
                  </to>
                </anchor>
              </controlPr>
            </control>
          </mc:Choice>
        </mc:AlternateContent>
        <mc:AlternateContent xmlns:mc="http://schemas.openxmlformats.org/markup-compatibility/2006">
          <mc:Choice Requires="x14">
            <control shapeId="1108" r:id="rId26" name="Scroll Bar 84">
              <controlPr defaultSize="0" autoPict="0">
                <anchor moveWithCells="1">
                  <from>
                    <xdr:col>0</xdr:col>
                    <xdr:colOff>0</xdr:colOff>
                    <xdr:row>31</xdr:row>
                    <xdr:rowOff>1314450</xdr:rowOff>
                  </from>
                  <to>
                    <xdr:col>31</xdr:col>
                    <xdr:colOff>142875</xdr:colOff>
                    <xdr:row>32</xdr:row>
                    <xdr:rowOff>0</xdr:rowOff>
                  </to>
                </anchor>
              </controlPr>
            </control>
          </mc:Choice>
        </mc:AlternateContent>
        <mc:AlternateContent xmlns:mc="http://schemas.openxmlformats.org/markup-compatibility/2006">
          <mc:Choice Requires="x14">
            <control shapeId="1109" r:id="rId27" name="Scroll Bar 85">
              <controlPr locked="0" defaultSize="0" autoPict="0">
                <anchor moveWithCells="1">
                  <from>
                    <xdr:col>0</xdr:col>
                    <xdr:colOff>19050</xdr:colOff>
                    <xdr:row>32</xdr:row>
                    <xdr:rowOff>895350</xdr:rowOff>
                  </from>
                  <to>
                    <xdr:col>5</xdr:col>
                    <xdr:colOff>180975</xdr:colOff>
                    <xdr:row>32</xdr:row>
                    <xdr:rowOff>1085850</xdr:rowOff>
                  </to>
                </anchor>
              </controlPr>
            </control>
          </mc:Choice>
        </mc:AlternateContent>
        <mc:AlternateContent xmlns:mc="http://schemas.openxmlformats.org/markup-compatibility/2006">
          <mc:Choice Requires="x14">
            <control shapeId="1110" r:id="rId28" name="Scroll Bar 86">
              <controlPr defaultSize="0" autoPict="0">
                <anchor moveWithCells="1">
                  <from>
                    <xdr:col>0</xdr:col>
                    <xdr:colOff>9525</xdr:colOff>
                    <xdr:row>33</xdr:row>
                    <xdr:rowOff>552450</xdr:rowOff>
                  </from>
                  <to>
                    <xdr:col>31</xdr:col>
                    <xdr:colOff>114300</xdr:colOff>
                    <xdr:row>33</xdr:row>
                    <xdr:rowOff>752475</xdr:rowOff>
                  </to>
                </anchor>
              </controlPr>
            </control>
          </mc:Choice>
        </mc:AlternateContent>
        <mc:AlternateContent xmlns:mc="http://schemas.openxmlformats.org/markup-compatibility/2006">
          <mc:Choice Requires="x14">
            <control shapeId="1111" r:id="rId29" name="Scroll Bar 87">
              <controlPr defaultSize="0" autoPict="0">
                <anchor moveWithCells="1">
                  <from>
                    <xdr:col>0</xdr:col>
                    <xdr:colOff>19050</xdr:colOff>
                    <xdr:row>34</xdr:row>
                    <xdr:rowOff>847725</xdr:rowOff>
                  </from>
                  <to>
                    <xdr:col>31</xdr:col>
                    <xdr:colOff>142875</xdr:colOff>
                    <xdr:row>35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79"/>
  <sheetViews>
    <sheetView topLeftCell="C1" workbookViewId="0">
      <selection activeCell="H2" sqref="H2"/>
    </sheetView>
  </sheetViews>
  <sheetFormatPr defaultRowHeight="15" x14ac:dyDescent="0.25"/>
  <cols>
    <col min="1" max="1" width="18.5703125" customWidth="1"/>
  </cols>
  <sheetData>
    <row r="1" spans="1:12" x14ac:dyDescent="0.25">
      <c r="A1" t="s">
        <v>198</v>
      </c>
      <c r="B1">
        <v>10</v>
      </c>
      <c r="D1">
        <f>B3</f>
        <v>10</v>
      </c>
      <c r="E1">
        <f>($B$8/($B$6-$B$3))*(D1-$B$3)</f>
        <v>0</v>
      </c>
      <c r="F1">
        <f>(($B$9-$B$8)/($B$5-$B$6))*(D1-$B$6)+$B$8</f>
        <v>-10.500000000000002</v>
      </c>
      <c r="G1">
        <f>(($B$7-$B$9)/($B$4-$B$5))*(D1-$B$5)+$B$9</f>
        <v>-2.1666666666666679</v>
      </c>
      <c r="H1">
        <f>-(($B$8-0)/($B$6-$B$3)^2)*(D1-$B$6)^2+$B$8</f>
        <v>0</v>
      </c>
      <c r="I1">
        <f>(($B$9-$B$8)/($B$5-$B$6)^2)*(D1-$B$6)^2+$B$8</f>
        <v>147</v>
      </c>
      <c r="J1">
        <f>-(($B$7-$B$9)/($B$4-$B$5)^2)*(D1-$B$4)^2+$B$7</f>
        <v>-41.888888888888886</v>
      </c>
      <c r="K1">
        <f>IF(D1&lt;=$B$6,E1,IF(D1&lt;=$B$5,F1,G1))</f>
        <v>0</v>
      </c>
      <c r="L1">
        <f>IF(D1&lt;=$B$6,H1,IF(D1&lt;=$B$5,I1,J1))</f>
        <v>0</v>
      </c>
    </row>
    <row r="2" spans="1:12" x14ac:dyDescent="0.25">
      <c r="A2" t="s">
        <v>200</v>
      </c>
      <c r="B2">
        <v>1</v>
      </c>
      <c r="D2">
        <f>D1+1</f>
        <v>11</v>
      </c>
      <c r="E2">
        <f t="shared" ref="E2:E65" si="0">($B$8/($B$6-$B$3))*(D2-$B$3)</f>
        <v>9.7222222222222224E-2</v>
      </c>
      <c r="F2">
        <f t="shared" ref="F2:F65" si="1">(($B$9-$B$8)/($B$5-$B$6))*(D2-$B$6)+$B$8</f>
        <v>-10.208333333333334</v>
      </c>
      <c r="G2">
        <f t="shared" ref="G2:G65" si="2">(($B$7-$B$9)/($B$4-$B$5))*(D2-$B$5)+$B$9</f>
        <v>-2.0138888888888893</v>
      </c>
      <c r="H2">
        <f t="shared" ref="H2:H65" si="3">-(($B$8-0)/($B$6-$B$3)^2)*(D2-$B$6)^2+$B$8</f>
        <v>0.19264403292181065</v>
      </c>
      <c r="I2">
        <f t="shared" ref="I2:I65" si="4">(($B$9-$B$8)/($B$5-$B$6)^2)*(D2-$B$6)^2+$B$8</f>
        <v>141.79861111111111</v>
      </c>
      <c r="J2">
        <f t="shared" ref="J2:J65" si="5">-(($B$7-$B$9)/($B$4-$B$5)^2)*(D2-$B$4)^2+$B$7</f>
        <v>-40.573302469135797</v>
      </c>
      <c r="K2">
        <f t="shared" ref="K2:K65" si="6">IF(D2&lt;=$B$6,E2,IF(D2&lt;=$B$5,F2,G2))</f>
        <v>9.7222222222222224E-2</v>
      </c>
      <c r="L2">
        <f t="shared" ref="L2:L65" si="7">IF(D2&lt;=$B$6,H2,IF(D2&lt;=$B$5,I2,J2))</f>
        <v>0.19264403292181065</v>
      </c>
    </row>
    <row r="3" spans="1:12" x14ac:dyDescent="0.25">
      <c r="A3" t="s">
        <v>197</v>
      </c>
      <c r="B3">
        <f>B1</f>
        <v>10</v>
      </c>
      <c r="D3">
        <f t="shared" ref="D3:D66" si="8">D2+1</f>
        <v>12</v>
      </c>
      <c r="E3">
        <f t="shared" si="0"/>
        <v>0.19444444444444445</v>
      </c>
      <c r="F3">
        <f t="shared" si="1"/>
        <v>-9.9166666666666679</v>
      </c>
      <c r="G3">
        <f t="shared" si="2"/>
        <v>-1.8611111111111125</v>
      </c>
      <c r="H3">
        <f t="shared" si="3"/>
        <v>0.3816872427983542</v>
      </c>
      <c r="I3">
        <f t="shared" si="4"/>
        <v>136.69444444444446</v>
      </c>
      <c r="J3">
        <f t="shared" si="5"/>
        <v>-39.27469135802469</v>
      </c>
      <c r="K3">
        <f t="shared" si="6"/>
        <v>0.19444444444444445</v>
      </c>
      <c r="L3">
        <f t="shared" si="7"/>
        <v>0.3816872427983542</v>
      </c>
    </row>
    <row r="4" spans="1:12" x14ac:dyDescent="0.25">
      <c r="A4" t="s">
        <v>199</v>
      </c>
      <c r="B4">
        <f>(B1-B2)*9+B2*7</f>
        <v>88</v>
      </c>
      <c r="D4">
        <f t="shared" si="8"/>
        <v>13</v>
      </c>
      <c r="E4">
        <f t="shared" si="0"/>
        <v>0.29166666666666669</v>
      </c>
      <c r="F4">
        <f t="shared" si="1"/>
        <v>-9.6250000000000018</v>
      </c>
      <c r="G4">
        <f t="shared" si="2"/>
        <v>-1.7083333333333339</v>
      </c>
      <c r="H4">
        <f t="shared" si="3"/>
        <v>0.56712962962962976</v>
      </c>
      <c r="I4">
        <f t="shared" si="4"/>
        <v>131.6875</v>
      </c>
      <c r="J4">
        <f t="shared" si="5"/>
        <v>-37.99305555555555</v>
      </c>
      <c r="K4">
        <f t="shared" si="6"/>
        <v>0.29166666666666669</v>
      </c>
      <c r="L4">
        <f t="shared" si="7"/>
        <v>0.56712962962962976</v>
      </c>
    </row>
    <row r="5" spans="1:12" x14ac:dyDescent="0.25">
      <c r="A5" t="s">
        <v>201</v>
      </c>
      <c r="B5">
        <f>B1*7</f>
        <v>70</v>
      </c>
      <c r="D5">
        <f t="shared" si="8"/>
        <v>14</v>
      </c>
      <c r="E5">
        <f t="shared" si="0"/>
        <v>0.3888888888888889</v>
      </c>
      <c r="F5">
        <f t="shared" si="1"/>
        <v>-9.3333333333333339</v>
      </c>
      <c r="G5">
        <f t="shared" si="2"/>
        <v>-1.5555555555555571</v>
      </c>
      <c r="H5">
        <f t="shared" si="3"/>
        <v>0.74897119341563734</v>
      </c>
      <c r="I5">
        <f t="shared" si="4"/>
        <v>126.77777777777779</v>
      </c>
      <c r="J5">
        <f t="shared" si="5"/>
        <v>-36.728395061728392</v>
      </c>
      <c r="K5">
        <f t="shared" si="6"/>
        <v>0.3888888888888889</v>
      </c>
      <c r="L5">
        <f t="shared" si="7"/>
        <v>0.74897119341563734</v>
      </c>
    </row>
    <row r="6" spans="1:12" x14ac:dyDescent="0.25">
      <c r="A6" t="s">
        <v>202</v>
      </c>
      <c r="B6">
        <f>B5-6</f>
        <v>64</v>
      </c>
      <c r="D6">
        <f t="shared" si="8"/>
        <v>15</v>
      </c>
      <c r="E6">
        <f t="shared" si="0"/>
        <v>0.4861111111111111</v>
      </c>
      <c r="F6">
        <f t="shared" si="1"/>
        <v>-9.0416666666666679</v>
      </c>
      <c r="G6">
        <f t="shared" si="2"/>
        <v>-1.4027777777777786</v>
      </c>
      <c r="H6">
        <f t="shared" si="3"/>
        <v>0.9272119341563787</v>
      </c>
      <c r="I6">
        <f t="shared" si="4"/>
        <v>121.96527777777779</v>
      </c>
      <c r="J6">
        <f t="shared" si="5"/>
        <v>-35.480709876543209</v>
      </c>
      <c r="K6">
        <f t="shared" si="6"/>
        <v>0.4861111111111111</v>
      </c>
      <c r="L6">
        <f t="shared" si="7"/>
        <v>0.9272119341563787</v>
      </c>
    </row>
    <row r="7" spans="1:12" x14ac:dyDescent="0.25">
      <c r="A7" t="s">
        <v>203</v>
      </c>
      <c r="B7">
        <v>9.75</v>
      </c>
      <c r="D7">
        <f t="shared" si="8"/>
        <v>16</v>
      </c>
      <c r="E7">
        <f t="shared" si="0"/>
        <v>0.58333333333333337</v>
      </c>
      <c r="F7">
        <f t="shared" si="1"/>
        <v>-8.75</v>
      </c>
      <c r="G7">
        <f t="shared" si="2"/>
        <v>-1.25</v>
      </c>
      <c r="H7">
        <f t="shared" si="3"/>
        <v>1.1018518518518521</v>
      </c>
      <c r="I7">
        <f t="shared" si="4"/>
        <v>117.25</v>
      </c>
      <c r="J7">
        <f t="shared" si="5"/>
        <v>-34.25</v>
      </c>
      <c r="K7">
        <f t="shared" si="6"/>
        <v>0.58333333333333337</v>
      </c>
      <c r="L7">
        <f t="shared" si="7"/>
        <v>1.1018518518518521</v>
      </c>
    </row>
    <row r="8" spans="1:12" x14ac:dyDescent="0.25">
      <c r="A8" t="s">
        <v>204</v>
      </c>
      <c r="B8">
        <v>5.25</v>
      </c>
      <c r="D8">
        <f t="shared" si="8"/>
        <v>17</v>
      </c>
      <c r="E8">
        <f t="shared" si="0"/>
        <v>0.68055555555555558</v>
      </c>
      <c r="F8">
        <f t="shared" si="1"/>
        <v>-8.4583333333333339</v>
      </c>
      <c r="G8">
        <f t="shared" si="2"/>
        <v>-1.0972222222222232</v>
      </c>
      <c r="H8">
        <f t="shared" si="3"/>
        <v>1.2728909465020575</v>
      </c>
      <c r="I8">
        <f t="shared" si="4"/>
        <v>112.63194444444444</v>
      </c>
      <c r="J8">
        <f t="shared" si="5"/>
        <v>-33.036265432098766</v>
      </c>
      <c r="K8">
        <f t="shared" si="6"/>
        <v>0.68055555555555558</v>
      </c>
      <c r="L8">
        <f t="shared" si="7"/>
        <v>1.2728909465020575</v>
      </c>
    </row>
    <row r="9" spans="1:12" x14ac:dyDescent="0.25">
      <c r="A9" t="s">
        <v>205</v>
      </c>
      <c r="B9">
        <v>7</v>
      </c>
      <c r="D9">
        <f t="shared" si="8"/>
        <v>18</v>
      </c>
      <c r="E9">
        <f t="shared" si="0"/>
        <v>0.77777777777777779</v>
      </c>
      <c r="F9">
        <f t="shared" si="1"/>
        <v>-8.1666666666666679</v>
      </c>
      <c r="G9">
        <f t="shared" si="2"/>
        <v>-0.94444444444444464</v>
      </c>
      <c r="H9">
        <f t="shared" si="3"/>
        <v>1.4403292181069958</v>
      </c>
      <c r="I9">
        <f t="shared" si="4"/>
        <v>108.11111111111111</v>
      </c>
      <c r="J9">
        <f t="shared" si="5"/>
        <v>-31.839506172839506</v>
      </c>
      <c r="K9">
        <f t="shared" si="6"/>
        <v>0.77777777777777779</v>
      </c>
      <c r="L9">
        <f t="shared" si="7"/>
        <v>1.4403292181069958</v>
      </c>
    </row>
    <row r="10" spans="1:12" x14ac:dyDescent="0.25">
      <c r="D10">
        <f t="shared" si="8"/>
        <v>19</v>
      </c>
      <c r="E10">
        <f t="shared" si="0"/>
        <v>0.875</v>
      </c>
      <c r="F10">
        <f t="shared" si="1"/>
        <v>-7.875</v>
      </c>
      <c r="G10">
        <f t="shared" si="2"/>
        <v>-0.79166666666666696</v>
      </c>
      <c r="H10">
        <f t="shared" si="3"/>
        <v>1.6041666666666665</v>
      </c>
      <c r="I10">
        <f t="shared" si="4"/>
        <v>103.6875</v>
      </c>
      <c r="J10">
        <f t="shared" si="5"/>
        <v>-30.659722222222221</v>
      </c>
      <c r="K10">
        <f t="shared" si="6"/>
        <v>0.875</v>
      </c>
      <c r="L10">
        <f t="shared" si="7"/>
        <v>1.6041666666666665</v>
      </c>
    </row>
    <row r="11" spans="1:12" x14ac:dyDescent="0.25">
      <c r="D11">
        <f t="shared" si="8"/>
        <v>20</v>
      </c>
      <c r="E11">
        <f t="shared" si="0"/>
        <v>0.97222222222222221</v>
      </c>
      <c r="F11">
        <f t="shared" si="1"/>
        <v>-7.5833333333333339</v>
      </c>
      <c r="G11">
        <f t="shared" si="2"/>
        <v>-0.63888888888888928</v>
      </c>
      <c r="H11">
        <f t="shared" si="3"/>
        <v>1.7644032921810697</v>
      </c>
      <c r="I11">
        <f t="shared" si="4"/>
        <v>99.361111111111114</v>
      </c>
      <c r="J11">
        <f t="shared" si="5"/>
        <v>-29.496913580246911</v>
      </c>
      <c r="K11">
        <f t="shared" si="6"/>
        <v>0.97222222222222221</v>
      </c>
      <c r="L11">
        <f t="shared" si="7"/>
        <v>1.7644032921810697</v>
      </c>
    </row>
    <row r="12" spans="1:12" x14ac:dyDescent="0.25">
      <c r="D12">
        <f t="shared" si="8"/>
        <v>21</v>
      </c>
      <c r="E12">
        <f t="shared" si="0"/>
        <v>1.0694444444444444</v>
      </c>
      <c r="F12">
        <f t="shared" si="1"/>
        <v>-7.2916666666666679</v>
      </c>
      <c r="G12">
        <f t="shared" si="2"/>
        <v>-0.4861111111111116</v>
      </c>
      <c r="H12">
        <f t="shared" si="3"/>
        <v>1.9210390946502058</v>
      </c>
      <c r="I12">
        <f t="shared" si="4"/>
        <v>95.131944444444443</v>
      </c>
      <c r="J12">
        <f t="shared" si="5"/>
        <v>-28.351080246913575</v>
      </c>
      <c r="K12">
        <f t="shared" si="6"/>
        <v>1.0694444444444444</v>
      </c>
      <c r="L12">
        <f t="shared" si="7"/>
        <v>1.9210390946502058</v>
      </c>
    </row>
    <row r="13" spans="1:12" x14ac:dyDescent="0.25">
      <c r="D13">
        <f t="shared" si="8"/>
        <v>22</v>
      </c>
      <c r="E13">
        <f t="shared" si="0"/>
        <v>1.1666666666666667</v>
      </c>
      <c r="F13">
        <f t="shared" si="1"/>
        <v>-7</v>
      </c>
      <c r="G13">
        <f t="shared" si="2"/>
        <v>-0.33333333333333393</v>
      </c>
      <c r="H13">
        <f t="shared" si="3"/>
        <v>2.074074074074074</v>
      </c>
      <c r="I13">
        <f t="shared" si="4"/>
        <v>91</v>
      </c>
      <c r="J13">
        <f t="shared" si="5"/>
        <v>-27.222222222222221</v>
      </c>
      <c r="K13">
        <f t="shared" si="6"/>
        <v>1.1666666666666667</v>
      </c>
      <c r="L13">
        <f t="shared" si="7"/>
        <v>2.074074074074074</v>
      </c>
    </row>
    <row r="14" spans="1:12" x14ac:dyDescent="0.25">
      <c r="D14">
        <f t="shared" si="8"/>
        <v>23</v>
      </c>
      <c r="E14">
        <f t="shared" si="0"/>
        <v>1.2638888888888888</v>
      </c>
      <c r="F14">
        <f t="shared" si="1"/>
        <v>-6.7083333333333339</v>
      </c>
      <c r="G14">
        <f t="shared" si="2"/>
        <v>-0.18055555555555625</v>
      </c>
      <c r="H14">
        <f t="shared" si="3"/>
        <v>2.223508230452675</v>
      </c>
      <c r="I14">
        <f t="shared" si="4"/>
        <v>86.965277777777786</v>
      </c>
      <c r="J14">
        <f t="shared" si="5"/>
        <v>-26.110339506172835</v>
      </c>
      <c r="K14">
        <f t="shared" si="6"/>
        <v>1.2638888888888888</v>
      </c>
      <c r="L14">
        <f t="shared" si="7"/>
        <v>2.223508230452675</v>
      </c>
    </row>
    <row r="15" spans="1:12" x14ac:dyDescent="0.25">
      <c r="D15">
        <f t="shared" si="8"/>
        <v>24</v>
      </c>
      <c r="E15">
        <f t="shared" si="0"/>
        <v>1.3611111111111112</v>
      </c>
      <c r="F15">
        <f t="shared" si="1"/>
        <v>-6.4166666666666679</v>
      </c>
      <c r="G15">
        <f t="shared" si="2"/>
        <v>-2.7777777777778567E-2</v>
      </c>
      <c r="H15">
        <f t="shared" si="3"/>
        <v>2.369341563786008</v>
      </c>
      <c r="I15">
        <f t="shared" si="4"/>
        <v>83.027777777777786</v>
      </c>
      <c r="J15">
        <f t="shared" si="5"/>
        <v>-25.01543209876543</v>
      </c>
      <c r="K15">
        <f t="shared" si="6"/>
        <v>1.3611111111111112</v>
      </c>
      <c r="L15">
        <f t="shared" si="7"/>
        <v>2.369341563786008</v>
      </c>
    </row>
    <row r="16" spans="1:12" x14ac:dyDescent="0.25">
      <c r="D16">
        <f t="shared" si="8"/>
        <v>25</v>
      </c>
      <c r="E16">
        <f t="shared" si="0"/>
        <v>1.4583333333333333</v>
      </c>
      <c r="F16">
        <f t="shared" si="1"/>
        <v>-6.125</v>
      </c>
      <c r="G16">
        <f t="shared" si="2"/>
        <v>0.12499999999999911</v>
      </c>
      <c r="H16">
        <f t="shared" si="3"/>
        <v>2.511574074074074</v>
      </c>
      <c r="I16">
        <f t="shared" si="4"/>
        <v>79.1875</v>
      </c>
      <c r="J16">
        <f t="shared" si="5"/>
        <v>-23.9375</v>
      </c>
      <c r="K16">
        <f t="shared" si="6"/>
        <v>1.4583333333333333</v>
      </c>
      <c r="L16">
        <f t="shared" si="7"/>
        <v>2.511574074074074</v>
      </c>
    </row>
    <row r="17" spans="4:12" x14ac:dyDescent="0.25">
      <c r="D17">
        <f t="shared" si="8"/>
        <v>26</v>
      </c>
      <c r="E17">
        <f t="shared" si="0"/>
        <v>1.5555555555555556</v>
      </c>
      <c r="F17">
        <f t="shared" si="1"/>
        <v>-5.8333333333333339</v>
      </c>
      <c r="G17">
        <f t="shared" si="2"/>
        <v>0.27777777777777679</v>
      </c>
      <c r="H17">
        <f t="shared" si="3"/>
        <v>2.6502057613168724</v>
      </c>
      <c r="I17">
        <f t="shared" si="4"/>
        <v>75.444444444444443</v>
      </c>
      <c r="J17">
        <f t="shared" si="5"/>
        <v>-22.876543209876544</v>
      </c>
      <c r="K17">
        <f t="shared" si="6"/>
        <v>1.5555555555555556</v>
      </c>
      <c r="L17">
        <f t="shared" si="7"/>
        <v>2.6502057613168724</v>
      </c>
    </row>
    <row r="18" spans="4:12" x14ac:dyDescent="0.25">
      <c r="D18">
        <f t="shared" si="8"/>
        <v>27</v>
      </c>
      <c r="E18">
        <f t="shared" si="0"/>
        <v>1.6527777777777779</v>
      </c>
      <c r="F18">
        <f t="shared" si="1"/>
        <v>-5.5416666666666679</v>
      </c>
      <c r="G18">
        <f t="shared" si="2"/>
        <v>0.43055555555555536</v>
      </c>
      <c r="H18">
        <f t="shared" si="3"/>
        <v>2.7852366255144032</v>
      </c>
      <c r="I18">
        <f t="shared" si="4"/>
        <v>71.798611111111114</v>
      </c>
      <c r="J18">
        <f t="shared" si="5"/>
        <v>-21.83256172839506</v>
      </c>
      <c r="K18">
        <f t="shared" si="6"/>
        <v>1.6527777777777779</v>
      </c>
      <c r="L18">
        <f t="shared" si="7"/>
        <v>2.7852366255144032</v>
      </c>
    </row>
    <row r="19" spans="4:12" x14ac:dyDescent="0.25">
      <c r="D19">
        <f t="shared" si="8"/>
        <v>28</v>
      </c>
      <c r="E19">
        <f t="shared" si="0"/>
        <v>1.75</v>
      </c>
      <c r="F19">
        <f t="shared" si="1"/>
        <v>-5.25</v>
      </c>
      <c r="G19">
        <f t="shared" si="2"/>
        <v>0.58333333333333304</v>
      </c>
      <c r="H19">
        <f t="shared" si="3"/>
        <v>2.9166666666666665</v>
      </c>
      <c r="I19">
        <f t="shared" si="4"/>
        <v>68.25</v>
      </c>
      <c r="J19">
        <f t="shared" si="5"/>
        <v>-20.805555555555554</v>
      </c>
      <c r="K19">
        <f t="shared" si="6"/>
        <v>1.75</v>
      </c>
      <c r="L19">
        <f t="shared" si="7"/>
        <v>2.9166666666666665</v>
      </c>
    </row>
    <row r="20" spans="4:12" x14ac:dyDescent="0.25">
      <c r="D20">
        <f t="shared" si="8"/>
        <v>29</v>
      </c>
      <c r="E20">
        <f t="shared" si="0"/>
        <v>1.8472222222222223</v>
      </c>
      <c r="F20">
        <f t="shared" si="1"/>
        <v>-4.9583333333333339</v>
      </c>
      <c r="G20">
        <f t="shared" si="2"/>
        <v>0.73611111111111072</v>
      </c>
      <c r="H20">
        <f t="shared" si="3"/>
        <v>3.0444958847736623</v>
      </c>
      <c r="I20">
        <f t="shared" si="4"/>
        <v>64.798611111111114</v>
      </c>
      <c r="J20">
        <f t="shared" si="5"/>
        <v>-19.795524691358022</v>
      </c>
      <c r="K20">
        <f t="shared" si="6"/>
        <v>1.8472222222222223</v>
      </c>
      <c r="L20">
        <f t="shared" si="7"/>
        <v>3.0444958847736623</v>
      </c>
    </row>
    <row r="21" spans="4:12" x14ac:dyDescent="0.25">
      <c r="D21">
        <f t="shared" si="8"/>
        <v>30</v>
      </c>
      <c r="E21">
        <f t="shared" si="0"/>
        <v>1.9444444444444444</v>
      </c>
      <c r="F21">
        <f t="shared" si="1"/>
        <v>-4.6666666666666679</v>
      </c>
      <c r="G21">
        <f t="shared" si="2"/>
        <v>0.8888888888888884</v>
      </c>
      <c r="H21">
        <f t="shared" si="3"/>
        <v>3.168724279835391</v>
      </c>
      <c r="I21">
        <f t="shared" si="4"/>
        <v>61.444444444444443</v>
      </c>
      <c r="J21">
        <f t="shared" si="5"/>
        <v>-18.802469135802468</v>
      </c>
      <c r="K21">
        <f t="shared" si="6"/>
        <v>1.9444444444444444</v>
      </c>
      <c r="L21">
        <f t="shared" si="7"/>
        <v>3.168724279835391</v>
      </c>
    </row>
    <row r="22" spans="4:12" x14ac:dyDescent="0.25">
      <c r="D22">
        <f t="shared" si="8"/>
        <v>31</v>
      </c>
      <c r="E22">
        <f t="shared" si="0"/>
        <v>2.0416666666666665</v>
      </c>
      <c r="F22">
        <f t="shared" si="1"/>
        <v>-4.375</v>
      </c>
      <c r="G22">
        <f t="shared" si="2"/>
        <v>1.0416666666666661</v>
      </c>
      <c r="H22">
        <f t="shared" si="3"/>
        <v>3.2893518518518521</v>
      </c>
      <c r="I22">
        <f t="shared" si="4"/>
        <v>58.1875</v>
      </c>
      <c r="J22">
        <f t="shared" si="5"/>
        <v>-17.826388888888886</v>
      </c>
      <c r="K22">
        <f t="shared" si="6"/>
        <v>2.0416666666666665</v>
      </c>
      <c r="L22">
        <f t="shared" si="7"/>
        <v>3.2893518518518521</v>
      </c>
    </row>
    <row r="23" spans="4:12" x14ac:dyDescent="0.25">
      <c r="D23">
        <f t="shared" si="8"/>
        <v>32</v>
      </c>
      <c r="E23">
        <f t="shared" si="0"/>
        <v>2.1388888888888888</v>
      </c>
      <c r="F23">
        <f t="shared" si="1"/>
        <v>-4.0833333333333339</v>
      </c>
      <c r="G23">
        <f t="shared" si="2"/>
        <v>1.1944444444444438</v>
      </c>
      <c r="H23">
        <f t="shared" si="3"/>
        <v>3.4063786008230452</v>
      </c>
      <c r="I23">
        <f t="shared" si="4"/>
        <v>55.027777777777779</v>
      </c>
      <c r="J23">
        <f t="shared" si="5"/>
        <v>-16.867283950617281</v>
      </c>
      <c r="K23">
        <f t="shared" si="6"/>
        <v>2.1388888888888888</v>
      </c>
      <c r="L23">
        <f t="shared" si="7"/>
        <v>3.4063786008230452</v>
      </c>
    </row>
    <row r="24" spans="4:12" x14ac:dyDescent="0.25">
      <c r="D24">
        <f t="shared" si="8"/>
        <v>33</v>
      </c>
      <c r="E24">
        <f t="shared" si="0"/>
        <v>2.2361111111111112</v>
      </c>
      <c r="F24">
        <f t="shared" si="1"/>
        <v>-3.7916666666666679</v>
      </c>
      <c r="G24">
        <f t="shared" si="2"/>
        <v>1.3472222222222214</v>
      </c>
      <c r="H24">
        <f t="shared" si="3"/>
        <v>3.5198045267489713</v>
      </c>
      <c r="I24">
        <f t="shared" si="4"/>
        <v>51.965277777777779</v>
      </c>
      <c r="J24">
        <f t="shared" si="5"/>
        <v>-15.925154320987652</v>
      </c>
      <c r="K24">
        <f t="shared" si="6"/>
        <v>2.2361111111111112</v>
      </c>
      <c r="L24">
        <f t="shared" si="7"/>
        <v>3.5198045267489713</v>
      </c>
    </row>
    <row r="25" spans="4:12" x14ac:dyDescent="0.25">
      <c r="D25">
        <f t="shared" si="8"/>
        <v>34</v>
      </c>
      <c r="E25">
        <f t="shared" si="0"/>
        <v>2.3333333333333335</v>
      </c>
      <c r="F25">
        <f t="shared" si="1"/>
        <v>-3.5</v>
      </c>
      <c r="G25">
        <f t="shared" si="2"/>
        <v>1.5</v>
      </c>
      <c r="H25">
        <f t="shared" si="3"/>
        <v>3.6296296296296298</v>
      </c>
      <c r="I25">
        <f t="shared" si="4"/>
        <v>49</v>
      </c>
      <c r="J25">
        <f t="shared" si="5"/>
        <v>-15</v>
      </c>
      <c r="K25">
        <f t="shared" si="6"/>
        <v>2.3333333333333335</v>
      </c>
      <c r="L25">
        <f t="shared" si="7"/>
        <v>3.6296296296296298</v>
      </c>
    </row>
    <row r="26" spans="4:12" x14ac:dyDescent="0.25">
      <c r="D26">
        <f t="shared" si="8"/>
        <v>35</v>
      </c>
      <c r="E26">
        <f t="shared" si="0"/>
        <v>2.4305555555555558</v>
      </c>
      <c r="F26">
        <f t="shared" si="1"/>
        <v>-3.2083333333333339</v>
      </c>
      <c r="G26">
        <f t="shared" si="2"/>
        <v>1.6527777777777777</v>
      </c>
      <c r="H26">
        <f t="shared" si="3"/>
        <v>3.7358539094650203</v>
      </c>
      <c r="I26">
        <f t="shared" si="4"/>
        <v>46.131944444444443</v>
      </c>
      <c r="J26">
        <f t="shared" si="5"/>
        <v>-14.091820987654319</v>
      </c>
      <c r="K26">
        <f t="shared" si="6"/>
        <v>2.4305555555555558</v>
      </c>
      <c r="L26">
        <f t="shared" si="7"/>
        <v>3.7358539094650203</v>
      </c>
    </row>
    <row r="27" spans="4:12" x14ac:dyDescent="0.25">
      <c r="D27">
        <f t="shared" si="8"/>
        <v>36</v>
      </c>
      <c r="E27">
        <f t="shared" si="0"/>
        <v>2.5277777777777777</v>
      </c>
      <c r="F27">
        <f t="shared" si="1"/>
        <v>-2.9166666666666679</v>
      </c>
      <c r="G27">
        <f t="shared" si="2"/>
        <v>1.8055555555555554</v>
      </c>
      <c r="H27">
        <f t="shared" si="3"/>
        <v>3.8384773662551437</v>
      </c>
      <c r="I27">
        <f t="shared" si="4"/>
        <v>43.361111111111114</v>
      </c>
      <c r="J27">
        <f t="shared" si="5"/>
        <v>-13.200617283950617</v>
      </c>
      <c r="K27">
        <f t="shared" si="6"/>
        <v>2.5277777777777777</v>
      </c>
      <c r="L27">
        <f t="shared" si="7"/>
        <v>3.8384773662551437</v>
      </c>
    </row>
    <row r="28" spans="4:12" x14ac:dyDescent="0.25">
      <c r="D28">
        <f t="shared" si="8"/>
        <v>37</v>
      </c>
      <c r="E28">
        <f t="shared" si="0"/>
        <v>2.625</v>
      </c>
      <c r="F28">
        <f t="shared" si="1"/>
        <v>-2.6250000000000009</v>
      </c>
      <c r="G28">
        <f t="shared" si="2"/>
        <v>1.958333333333333</v>
      </c>
      <c r="H28">
        <f t="shared" si="3"/>
        <v>3.9375</v>
      </c>
      <c r="I28">
        <f t="shared" si="4"/>
        <v>40.6875</v>
      </c>
      <c r="J28">
        <f t="shared" si="5"/>
        <v>-12.326388888888889</v>
      </c>
      <c r="K28">
        <f t="shared" si="6"/>
        <v>2.625</v>
      </c>
      <c r="L28">
        <f t="shared" si="7"/>
        <v>3.9375</v>
      </c>
    </row>
    <row r="29" spans="4:12" x14ac:dyDescent="0.25">
      <c r="D29">
        <f t="shared" si="8"/>
        <v>38</v>
      </c>
      <c r="E29">
        <f t="shared" si="0"/>
        <v>2.7222222222222223</v>
      </c>
      <c r="F29">
        <f t="shared" si="1"/>
        <v>-2.3333333333333339</v>
      </c>
      <c r="G29">
        <f t="shared" si="2"/>
        <v>2.1111111111111107</v>
      </c>
      <c r="H29">
        <f t="shared" si="3"/>
        <v>4.0329218106995883</v>
      </c>
      <c r="I29">
        <f t="shared" si="4"/>
        <v>38.111111111111114</v>
      </c>
      <c r="J29">
        <f t="shared" si="5"/>
        <v>-11.469135802469136</v>
      </c>
      <c r="K29">
        <f t="shared" si="6"/>
        <v>2.7222222222222223</v>
      </c>
      <c r="L29">
        <f t="shared" si="7"/>
        <v>4.0329218106995883</v>
      </c>
    </row>
    <row r="30" spans="4:12" x14ac:dyDescent="0.25">
      <c r="D30">
        <f t="shared" si="8"/>
        <v>39</v>
      </c>
      <c r="E30">
        <f t="shared" si="0"/>
        <v>2.8194444444444446</v>
      </c>
      <c r="F30">
        <f t="shared" si="1"/>
        <v>-2.041666666666667</v>
      </c>
      <c r="G30">
        <f t="shared" si="2"/>
        <v>2.2638888888888884</v>
      </c>
      <c r="H30">
        <f t="shared" si="3"/>
        <v>4.1247427983539096</v>
      </c>
      <c r="I30">
        <f t="shared" si="4"/>
        <v>35.631944444444443</v>
      </c>
      <c r="J30">
        <f t="shared" si="5"/>
        <v>-10.628858024691358</v>
      </c>
      <c r="K30">
        <f t="shared" si="6"/>
        <v>2.8194444444444446</v>
      </c>
      <c r="L30">
        <f t="shared" si="7"/>
        <v>4.1247427983539096</v>
      </c>
    </row>
    <row r="31" spans="4:12" x14ac:dyDescent="0.25">
      <c r="D31">
        <f t="shared" si="8"/>
        <v>40</v>
      </c>
      <c r="E31">
        <f t="shared" si="0"/>
        <v>2.9166666666666665</v>
      </c>
      <c r="F31">
        <f t="shared" si="1"/>
        <v>-1.75</v>
      </c>
      <c r="G31">
        <f t="shared" si="2"/>
        <v>2.4166666666666661</v>
      </c>
      <c r="H31">
        <f t="shared" si="3"/>
        <v>4.2129629629629628</v>
      </c>
      <c r="I31">
        <f t="shared" si="4"/>
        <v>33.25</v>
      </c>
      <c r="J31">
        <f t="shared" si="5"/>
        <v>-9.8055555555555536</v>
      </c>
      <c r="K31">
        <f t="shared" si="6"/>
        <v>2.9166666666666665</v>
      </c>
      <c r="L31">
        <f t="shared" si="7"/>
        <v>4.2129629629629628</v>
      </c>
    </row>
    <row r="32" spans="4:12" x14ac:dyDescent="0.25">
      <c r="D32">
        <f t="shared" si="8"/>
        <v>41</v>
      </c>
      <c r="E32">
        <f t="shared" si="0"/>
        <v>3.0138888888888888</v>
      </c>
      <c r="F32">
        <f t="shared" si="1"/>
        <v>-1.4583333333333339</v>
      </c>
      <c r="G32">
        <f t="shared" si="2"/>
        <v>2.5694444444444438</v>
      </c>
      <c r="H32">
        <f t="shared" si="3"/>
        <v>4.2975823045267489</v>
      </c>
      <c r="I32">
        <f t="shared" si="4"/>
        <v>30.965277777777779</v>
      </c>
      <c r="J32">
        <f t="shared" si="5"/>
        <v>-8.9992283950617278</v>
      </c>
      <c r="K32">
        <f t="shared" si="6"/>
        <v>3.0138888888888888</v>
      </c>
      <c r="L32">
        <f t="shared" si="7"/>
        <v>4.2975823045267489</v>
      </c>
    </row>
    <row r="33" spans="4:12" x14ac:dyDescent="0.25">
      <c r="D33">
        <f t="shared" si="8"/>
        <v>42</v>
      </c>
      <c r="E33">
        <f t="shared" si="0"/>
        <v>3.1111111111111112</v>
      </c>
      <c r="F33">
        <f t="shared" si="1"/>
        <v>-1.166666666666667</v>
      </c>
      <c r="G33">
        <f t="shared" si="2"/>
        <v>2.7222222222222214</v>
      </c>
      <c r="H33">
        <f t="shared" si="3"/>
        <v>4.3786008230452671</v>
      </c>
      <c r="I33">
        <f t="shared" si="4"/>
        <v>28.777777777777779</v>
      </c>
      <c r="J33">
        <f t="shared" si="5"/>
        <v>-8.2098765432098766</v>
      </c>
      <c r="K33">
        <f t="shared" si="6"/>
        <v>3.1111111111111112</v>
      </c>
      <c r="L33">
        <f t="shared" si="7"/>
        <v>4.3786008230452671</v>
      </c>
    </row>
    <row r="34" spans="4:12" x14ac:dyDescent="0.25">
      <c r="D34">
        <f t="shared" si="8"/>
        <v>43</v>
      </c>
      <c r="E34">
        <f t="shared" si="0"/>
        <v>3.2083333333333335</v>
      </c>
      <c r="F34">
        <f t="shared" si="1"/>
        <v>-0.875</v>
      </c>
      <c r="G34">
        <f t="shared" si="2"/>
        <v>2.875</v>
      </c>
      <c r="H34">
        <f t="shared" si="3"/>
        <v>4.4560185185185182</v>
      </c>
      <c r="I34">
        <f t="shared" si="4"/>
        <v>26.6875</v>
      </c>
      <c r="J34">
        <f t="shared" si="5"/>
        <v>-7.4375</v>
      </c>
      <c r="K34">
        <f t="shared" si="6"/>
        <v>3.2083333333333335</v>
      </c>
      <c r="L34">
        <f t="shared" si="7"/>
        <v>4.4560185185185182</v>
      </c>
    </row>
    <row r="35" spans="4:12" x14ac:dyDescent="0.25">
      <c r="D35">
        <f t="shared" si="8"/>
        <v>44</v>
      </c>
      <c r="E35">
        <f t="shared" si="0"/>
        <v>3.3055555555555558</v>
      </c>
      <c r="F35">
        <f t="shared" si="1"/>
        <v>-0.58333333333333393</v>
      </c>
      <c r="G35">
        <f t="shared" si="2"/>
        <v>3.0277777777777777</v>
      </c>
      <c r="H35">
        <f t="shared" si="3"/>
        <v>4.5298353909465021</v>
      </c>
      <c r="I35">
        <f t="shared" si="4"/>
        <v>24.694444444444446</v>
      </c>
      <c r="J35">
        <f t="shared" si="5"/>
        <v>-6.682098765432098</v>
      </c>
      <c r="K35">
        <f t="shared" si="6"/>
        <v>3.3055555555555558</v>
      </c>
      <c r="L35">
        <f t="shared" si="7"/>
        <v>4.5298353909465021</v>
      </c>
    </row>
    <row r="36" spans="4:12" x14ac:dyDescent="0.25">
      <c r="D36">
        <f t="shared" si="8"/>
        <v>45</v>
      </c>
      <c r="E36">
        <f t="shared" si="0"/>
        <v>3.4027777777777777</v>
      </c>
      <c r="F36">
        <f t="shared" si="1"/>
        <v>-0.29166666666666696</v>
      </c>
      <c r="G36">
        <f t="shared" si="2"/>
        <v>3.1805555555555554</v>
      </c>
      <c r="H36">
        <f t="shared" si="3"/>
        <v>4.6000514403292181</v>
      </c>
      <c r="I36">
        <f t="shared" si="4"/>
        <v>22.798611111111111</v>
      </c>
      <c r="J36">
        <f t="shared" si="5"/>
        <v>-5.9436728395061724</v>
      </c>
      <c r="K36">
        <f t="shared" si="6"/>
        <v>3.4027777777777777</v>
      </c>
      <c r="L36">
        <f t="shared" si="7"/>
        <v>4.6000514403292181</v>
      </c>
    </row>
    <row r="37" spans="4:12" x14ac:dyDescent="0.25">
      <c r="D37">
        <f t="shared" si="8"/>
        <v>46</v>
      </c>
      <c r="E37">
        <f t="shared" si="0"/>
        <v>3.5</v>
      </c>
      <c r="F37">
        <f t="shared" si="1"/>
        <v>0</v>
      </c>
      <c r="G37">
        <f t="shared" si="2"/>
        <v>3.333333333333333</v>
      </c>
      <c r="H37">
        <f t="shared" si="3"/>
        <v>4.666666666666667</v>
      </c>
      <c r="I37">
        <f t="shared" si="4"/>
        <v>21</v>
      </c>
      <c r="J37">
        <f t="shared" si="5"/>
        <v>-5.2222222222222214</v>
      </c>
      <c r="K37">
        <f t="shared" si="6"/>
        <v>3.5</v>
      </c>
      <c r="L37">
        <f t="shared" si="7"/>
        <v>4.666666666666667</v>
      </c>
    </row>
    <row r="38" spans="4:12" x14ac:dyDescent="0.25">
      <c r="D38">
        <f t="shared" si="8"/>
        <v>47</v>
      </c>
      <c r="E38">
        <f t="shared" si="0"/>
        <v>3.5972222222222223</v>
      </c>
      <c r="F38">
        <f t="shared" si="1"/>
        <v>0.29166666666666607</v>
      </c>
      <c r="G38">
        <f t="shared" si="2"/>
        <v>3.4861111111111107</v>
      </c>
      <c r="H38">
        <f t="shared" si="3"/>
        <v>4.7296810699588478</v>
      </c>
      <c r="I38">
        <f t="shared" si="4"/>
        <v>19.298611111111111</v>
      </c>
      <c r="J38">
        <f t="shared" si="5"/>
        <v>-4.5177469135802468</v>
      </c>
      <c r="K38">
        <f t="shared" si="6"/>
        <v>3.5972222222222223</v>
      </c>
      <c r="L38">
        <f t="shared" si="7"/>
        <v>4.7296810699588478</v>
      </c>
    </row>
    <row r="39" spans="4:12" x14ac:dyDescent="0.25">
      <c r="D39">
        <f t="shared" si="8"/>
        <v>48</v>
      </c>
      <c r="E39">
        <f t="shared" si="0"/>
        <v>3.6944444444444446</v>
      </c>
      <c r="F39">
        <f t="shared" si="1"/>
        <v>0.58333333333333304</v>
      </c>
      <c r="G39">
        <f t="shared" si="2"/>
        <v>3.6388888888888884</v>
      </c>
      <c r="H39">
        <f t="shared" si="3"/>
        <v>4.7890946502057616</v>
      </c>
      <c r="I39">
        <f t="shared" si="4"/>
        <v>17.694444444444443</v>
      </c>
      <c r="J39">
        <f t="shared" si="5"/>
        <v>-3.8302469135802468</v>
      </c>
      <c r="K39">
        <f t="shared" si="6"/>
        <v>3.6944444444444446</v>
      </c>
      <c r="L39">
        <f t="shared" si="7"/>
        <v>4.7890946502057616</v>
      </c>
    </row>
    <row r="40" spans="4:12" x14ac:dyDescent="0.25">
      <c r="D40">
        <f t="shared" si="8"/>
        <v>49</v>
      </c>
      <c r="E40">
        <f t="shared" si="0"/>
        <v>3.7916666666666665</v>
      </c>
      <c r="F40">
        <f t="shared" si="1"/>
        <v>0.875</v>
      </c>
      <c r="G40">
        <f t="shared" si="2"/>
        <v>3.7916666666666665</v>
      </c>
      <c r="H40">
        <f t="shared" si="3"/>
        <v>4.8449074074074074</v>
      </c>
      <c r="I40">
        <f t="shared" si="4"/>
        <v>16.1875</v>
      </c>
      <c r="J40">
        <f t="shared" si="5"/>
        <v>-3.1597222222222214</v>
      </c>
      <c r="K40">
        <f t="shared" si="6"/>
        <v>3.7916666666666665</v>
      </c>
      <c r="L40">
        <f t="shared" si="7"/>
        <v>4.8449074074074074</v>
      </c>
    </row>
    <row r="41" spans="4:12" x14ac:dyDescent="0.25">
      <c r="D41">
        <f t="shared" si="8"/>
        <v>50</v>
      </c>
      <c r="E41">
        <f t="shared" si="0"/>
        <v>3.8888888888888888</v>
      </c>
      <c r="F41">
        <f t="shared" si="1"/>
        <v>1.1666666666666661</v>
      </c>
      <c r="G41">
        <f t="shared" si="2"/>
        <v>3.9444444444444442</v>
      </c>
      <c r="H41">
        <f t="shared" si="3"/>
        <v>4.8971193415637861</v>
      </c>
      <c r="I41">
        <f t="shared" si="4"/>
        <v>14.777777777777779</v>
      </c>
      <c r="J41">
        <f t="shared" si="5"/>
        <v>-2.5061728395061724</v>
      </c>
      <c r="K41">
        <f t="shared" si="6"/>
        <v>3.8888888888888888</v>
      </c>
      <c r="L41">
        <f t="shared" si="7"/>
        <v>4.8971193415637861</v>
      </c>
    </row>
    <row r="42" spans="4:12" x14ac:dyDescent="0.25">
      <c r="D42">
        <f t="shared" si="8"/>
        <v>51</v>
      </c>
      <c r="E42">
        <f t="shared" si="0"/>
        <v>3.9861111111111112</v>
      </c>
      <c r="F42">
        <f t="shared" si="1"/>
        <v>1.458333333333333</v>
      </c>
      <c r="G42">
        <f t="shared" si="2"/>
        <v>4.0972222222222214</v>
      </c>
      <c r="H42">
        <f t="shared" si="3"/>
        <v>4.9457304526748969</v>
      </c>
      <c r="I42">
        <f t="shared" si="4"/>
        <v>13.465277777777779</v>
      </c>
      <c r="J42">
        <f t="shared" si="5"/>
        <v>-1.869598765432098</v>
      </c>
      <c r="K42">
        <f t="shared" si="6"/>
        <v>3.9861111111111112</v>
      </c>
      <c r="L42">
        <f t="shared" si="7"/>
        <v>4.9457304526748969</v>
      </c>
    </row>
    <row r="43" spans="4:12" x14ac:dyDescent="0.25">
      <c r="D43">
        <f t="shared" si="8"/>
        <v>52</v>
      </c>
      <c r="E43">
        <f t="shared" si="0"/>
        <v>4.083333333333333</v>
      </c>
      <c r="F43">
        <f t="shared" si="1"/>
        <v>1.75</v>
      </c>
      <c r="G43">
        <f t="shared" si="2"/>
        <v>4.25</v>
      </c>
      <c r="H43">
        <f t="shared" si="3"/>
        <v>4.9907407407407405</v>
      </c>
      <c r="I43">
        <f t="shared" si="4"/>
        <v>12.25</v>
      </c>
      <c r="J43">
        <f t="shared" si="5"/>
        <v>-1.25</v>
      </c>
      <c r="K43">
        <f t="shared" si="6"/>
        <v>4.083333333333333</v>
      </c>
      <c r="L43">
        <f t="shared" si="7"/>
        <v>4.9907407407407405</v>
      </c>
    </row>
    <row r="44" spans="4:12" x14ac:dyDescent="0.25">
      <c r="D44">
        <f t="shared" si="8"/>
        <v>53</v>
      </c>
      <c r="E44">
        <f t="shared" si="0"/>
        <v>4.1805555555555554</v>
      </c>
      <c r="F44">
        <f t="shared" si="1"/>
        <v>2.0416666666666665</v>
      </c>
      <c r="G44">
        <f t="shared" si="2"/>
        <v>4.4027777777777777</v>
      </c>
      <c r="H44">
        <f t="shared" si="3"/>
        <v>5.032150205761317</v>
      </c>
      <c r="I44">
        <f t="shared" si="4"/>
        <v>11.131944444444445</v>
      </c>
      <c r="J44">
        <f t="shared" si="5"/>
        <v>-0.64737654320987659</v>
      </c>
      <c r="K44">
        <f t="shared" si="6"/>
        <v>4.1805555555555554</v>
      </c>
      <c r="L44">
        <f t="shared" si="7"/>
        <v>5.032150205761317</v>
      </c>
    </row>
    <row r="45" spans="4:12" x14ac:dyDescent="0.25">
      <c r="D45">
        <f t="shared" si="8"/>
        <v>54</v>
      </c>
      <c r="E45">
        <f t="shared" si="0"/>
        <v>4.2777777777777777</v>
      </c>
      <c r="F45">
        <f t="shared" si="1"/>
        <v>2.333333333333333</v>
      </c>
      <c r="G45">
        <f t="shared" si="2"/>
        <v>4.5555555555555554</v>
      </c>
      <c r="H45">
        <f t="shared" si="3"/>
        <v>5.0699588477366255</v>
      </c>
      <c r="I45">
        <f t="shared" si="4"/>
        <v>10.111111111111111</v>
      </c>
      <c r="J45">
        <f t="shared" si="5"/>
        <v>-6.1728395061727781E-2</v>
      </c>
      <c r="K45">
        <f t="shared" si="6"/>
        <v>4.2777777777777777</v>
      </c>
      <c r="L45">
        <f t="shared" si="7"/>
        <v>5.0699588477366255</v>
      </c>
    </row>
    <row r="46" spans="4:12" x14ac:dyDescent="0.25">
      <c r="D46">
        <f t="shared" si="8"/>
        <v>55</v>
      </c>
      <c r="E46">
        <f t="shared" si="0"/>
        <v>4.375</v>
      </c>
      <c r="F46">
        <f t="shared" si="1"/>
        <v>2.625</v>
      </c>
      <c r="G46">
        <f t="shared" si="2"/>
        <v>4.708333333333333</v>
      </c>
      <c r="H46">
        <f t="shared" si="3"/>
        <v>5.104166666666667</v>
      </c>
      <c r="I46">
        <f t="shared" si="4"/>
        <v>9.1875</v>
      </c>
      <c r="J46">
        <f t="shared" si="5"/>
        <v>0.50694444444444464</v>
      </c>
      <c r="K46">
        <f t="shared" si="6"/>
        <v>4.375</v>
      </c>
      <c r="L46">
        <f t="shared" si="7"/>
        <v>5.104166666666667</v>
      </c>
    </row>
    <row r="47" spans="4:12" x14ac:dyDescent="0.25">
      <c r="D47">
        <f t="shared" si="8"/>
        <v>56</v>
      </c>
      <c r="E47">
        <f t="shared" si="0"/>
        <v>4.4722222222222223</v>
      </c>
      <c r="F47">
        <f t="shared" si="1"/>
        <v>2.9166666666666665</v>
      </c>
      <c r="G47">
        <f t="shared" si="2"/>
        <v>4.8611111111111107</v>
      </c>
      <c r="H47">
        <f t="shared" si="3"/>
        <v>5.1347736625514404</v>
      </c>
      <c r="I47">
        <f t="shared" si="4"/>
        <v>8.3611111111111107</v>
      </c>
      <c r="J47">
        <f t="shared" si="5"/>
        <v>1.0586419753086425</v>
      </c>
      <c r="K47">
        <f t="shared" si="6"/>
        <v>4.4722222222222223</v>
      </c>
      <c r="L47">
        <f t="shared" si="7"/>
        <v>5.1347736625514404</v>
      </c>
    </row>
    <row r="48" spans="4:12" x14ac:dyDescent="0.25">
      <c r="D48">
        <f t="shared" si="8"/>
        <v>57</v>
      </c>
      <c r="E48">
        <f t="shared" si="0"/>
        <v>4.5694444444444446</v>
      </c>
      <c r="F48">
        <f t="shared" si="1"/>
        <v>3.208333333333333</v>
      </c>
      <c r="G48">
        <f t="shared" si="2"/>
        <v>5.0138888888888893</v>
      </c>
      <c r="H48">
        <f t="shared" si="3"/>
        <v>5.1617798353909468</v>
      </c>
      <c r="I48">
        <f t="shared" si="4"/>
        <v>7.6319444444444446</v>
      </c>
      <c r="J48">
        <f t="shared" si="5"/>
        <v>1.5933641975308639</v>
      </c>
      <c r="K48">
        <f t="shared" si="6"/>
        <v>4.5694444444444446</v>
      </c>
      <c r="L48">
        <f t="shared" si="7"/>
        <v>5.1617798353909468</v>
      </c>
    </row>
    <row r="49" spans="4:12" x14ac:dyDescent="0.25">
      <c r="D49">
        <f t="shared" si="8"/>
        <v>58</v>
      </c>
      <c r="E49">
        <f t="shared" si="0"/>
        <v>4.666666666666667</v>
      </c>
      <c r="F49">
        <f t="shared" si="1"/>
        <v>3.5</v>
      </c>
      <c r="G49">
        <f t="shared" si="2"/>
        <v>5.1666666666666661</v>
      </c>
      <c r="H49">
        <f t="shared" si="3"/>
        <v>5.1851851851851851</v>
      </c>
      <c r="I49">
        <f t="shared" si="4"/>
        <v>7</v>
      </c>
      <c r="J49">
        <f t="shared" si="5"/>
        <v>2.1111111111111116</v>
      </c>
      <c r="K49">
        <f t="shared" si="6"/>
        <v>4.666666666666667</v>
      </c>
      <c r="L49">
        <f t="shared" si="7"/>
        <v>5.1851851851851851</v>
      </c>
    </row>
    <row r="50" spans="4:12" x14ac:dyDescent="0.25">
      <c r="D50">
        <f t="shared" si="8"/>
        <v>59</v>
      </c>
      <c r="E50">
        <f t="shared" si="0"/>
        <v>4.7638888888888893</v>
      </c>
      <c r="F50">
        <f t="shared" si="1"/>
        <v>3.7916666666666665</v>
      </c>
      <c r="G50">
        <f t="shared" si="2"/>
        <v>5.3194444444444446</v>
      </c>
      <c r="H50">
        <f t="shared" si="3"/>
        <v>5.2049897119341564</v>
      </c>
      <c r="I50">
        <f t="shared" si="4"/>
        <v>6.4652777777777777</v>
      </c>
      <c r="J50">
        <f t="shared" si="5"/>
        <v>2.6118827160493829</v>
      </c>
      <c r="K50">
        <f t="shared" si="6"/>
        <v>4.7638888888888893</v>
      </c>
      <c r="L50">
        <f t="shared" si="7"/>
        <v>5.2049897119341564</v>
      </c>
    </row>
    <row r="51" spans="4:12" x14ac:dyDescent="0.25">
      <c r="D51">
        <f t="shared" si="8"/>
        <v>60</v>
      </c>
      <c r="E51">
        <f t="shared" si="0"/>
        <v>4.8611111111111116</v>
      </c>
      <c r="F51">
        <f t="shared" si="1"/>
        <v>4.083333333333333</v>
      </c>
      <c r="G51">
        <f t="shared" si="2"/>
        <v>5.4722222222222223</v>
      </c>
      <c r="H51">
        <f t="shared" si="3"/>
        <v>5.2211934156378597</v>
      </c>
      <c r="I51">
        <f t="shared" si="4"/>
        <v>6.0277777777777777</v>
      </c>
      <c r="J51">
        <f t="shared" si="5"/>
        <v>3.0956790123456797</v>
      </c>
      <c r="K51">
        <f t="shared" si="6"/>
        <v>4.8611111111111116</v>
      </c>
      <c r="L51">
        <f t="shared" si="7"/>
        <v>5.2211934156378597</v>
      </c>
    </row>
    <row r="52" spans="4:12" x14ac:dyDescent="0.25">
      <c r="D52">
        <f t="shared" si="8"/>
        <v>61</v>
      </c>
      <c r="E52">
        <f t="shared" si="0"/>
        <v>4.958333333333333</v>
      </c>
      <c r="F52">
        <f t="shared" si="1"/>
        <v>4.375</v>
      </c>
      <c r="G52">
        <f t="shared" si="2"/>
        <v>5.625</v>
      </c>
      <c r="H52">
        <f t="shared" si="3"/>
        <v>5.2337962962962967</v>
      </c>
      <c r="I52">
        <f t="shared" si="4"/>
        <v>5.6875</v>
      </c>
      <c r="J52">
        <f t="shared" si="5"/>
        <v>3.5625</v>
      </c>
      <c r="K52">
        <f t="shared" si="6"/>
        <v>4.958333333333333</v>
      </c>
      <c r="L52">
        <f t="shared" si="7"/>
        <v>5.2337962962962967</v>
      </c>
    </row>
    <row r="53" spans="4:12" x14ac:dyDescent="0.25">
      <c r="D53">
        <f t="shared" si="8"/>
        <v>62</v>
      </c>
      <c r="E53">
        <f t="shared" si="0"/>
        <v>5.0555555555555554</v>
      </c>
      <c r="F53">
        <f t="shared" si="1"/>
        <v>4.666666666666667</v>
      </c>
      <c r="G53">
        <f t="shared" si="2"/>
        <v>5.7777777777777777</v>
      </c>
      <c r="H53">
        <f t="shared" si="3"/>
        <v>5.2427983539094649</v>
      </c>
      <c r="I53">
        <f t="shared" si="4"/>
        <v>5.4444444444444446</v>
      </c>
      <c r="J53">
        <f t="shared" si="5"/>
        <v>4.0123456790123457</v>
      </c>
      <c r="K53">
        <f t="shared" si="6"/>
        <v>5.0555555555555554</v>
      </c>
      <c r="L53">
        <f t="shared" si="7"/>
        <v>5.2427983539094649</v>
      </c>
    </row>
    <row r="54" spans="4:12" x14ac:dyDescent="0.25">
      <c r="D54">
        <f t="shared" si="8"/>
        <v>63</v>
      </c>
      <c r="E54">
        <f t="shared" si="0"/>
        <v>5.1527777777777777</v>
      </c>
      <c r="F54">
        <f t="shared" si="1"/>
        <v>4.958333333333333</v>
      </c>
      <c r="G54">
        <f t="shared" si="2"/>
        <v>5.9305555555555554</v>
      </c>
      <c r="H54">
        <f t="shared" si="3"/>
        <v>5.248199588477366</v>
      </c>
      <c r="I54">
        <f t="shared" si="4"/>
        <v>5.2986111111111107</v>
      </c>
      <c r="J54">
        <f t="shared" si="5"/>
        <v>4.445216049382716</v>
      </c>
      <c r="K54">
        <f t="shared" si="6"/>
        <v>5.1527777777777777</v>
      </c>
      <c r="L54">
        <f t="shared" si="7"/>
        <v>5.248199588477366</v>
      </c>
    </row>
    <row r="55" spans="4:12" x14ac:dyDescent="0.25">
      <c r="D55">
        <f t="shared" si="8"/>
        <v>64</v>
      </c>
      <c r="E55">
        <f t="shared" si="0"/>
        <v>5.25</v>
      </c>
      <c r="F55">
        <f t="shared" si="1"/>
        <v>5.25</v>
      </c>
      <c r="G55">
        <f t="shared" si="2"/>
        <v>6.083333333333333</v>
      </c>
      <c r="H55">
        <f t="shared" si="3"/>
        <v>5.25</v>
      </c>
      <c r="I55">
        <f t="shared" si="4"/>
        <v>5.25</v>
      </c>
      <c r="J55">
        <f t="shared" si="5"/>
        <v>4.8611111111111116</v>
      </c>
      <c r="K55">
        <f t="shared" si="6"/>
        <v>5.25</v>
      </c>
      <c r="L55">
        <f t="shared" si="7"/>
        <v>5.25</v>
      </c>
    </row>
    <row r="56" spans="4:12" x14ac:dyDescent="0.25">
      <c r="D56">
        <f t="shared" si="8"/>
        <v>65</v>
      </c>
      <c r="E56">
        <f t="shared" si="0"/>
        <v>5.3472222222222223</v>
      </c>
      <c r="F56">
        <f t="shared" si="1"/>
        <v>5.541666666666667</v>
      </c>
      <c r="G56">
        <f t="shared" si="2"/>
        <v>6.2361111111111107</v>
      </c>
      <c r="H56">
        <f t="shared" si="3"/>
        <v>5.248199588477366</v>
      </c>
      <c r="I56">
        <f t="shared" si="4"/>
        <v>5.2986111111111107</v>
      </c>
      <c r="J56">
        <f t="shared" si="5"/>
        <v>5.2600308641975309</v>
      </c>
      <c r="K56">
        <f t="shared" si="6"/>
        <v>5.541666666666667</v>
      </c>
      <c r="L56">
        <f t="shared" si="7"/>
        <v>5.2986111111111107</v>
      </c>
    </row>
    <row r="57" spans="4:12" x14ac:dyDescent="0.25">
      <c r="D57">
        <f t="shared" si="8"/>
        <v>66</v>
      </c>
      <c r="E57">
        <f t="shared" si="0"/>
        <v>5.4444444444444446</v>
      </c>
      <c r="F57">
        <f t="shared" si="1"/>
        <v>5.833333333333333</v>
      </c>
      <c r="G57">
        <f t="shared" si="2"/>
        <v>6.3888888888888893</v>
      </c>
      <c r="H57">
        <f t="shared" si="3"/>
        <v>5.2427983539094649</v>
      </c>
      <c r="I57">
        <f t="shared" si="4"/>
        <v>5.4444444444444446</v>
      </c>
      <c r="J57">
        <f t="shared" si="5"/>
        <v>5.6419753086419755</v>
      </c>
      <c r="K57">
        <f t="shared" si="6"/>
        <v>5.833333333333333</v>
      </c>
      <c r="L57">
        <f t="shared" si="7"/>
        <v>5.4444444444444446</v>
      </c>
    </row>
    <row r="58" spans="4:12" x14ac:dyDescent="0.25">
      <c r="D58">
        <f t="shared" si="8"/>
        <v>67</v>
      </c>
      <c r="E58">
        <f t="shared" si="0"/>
        <v>5.541666666666667</v>
      </c>
      <c r="F58">
        <f t="shared" si="1"/>
        <v>6.125</v>
      </c>
      <c r="G58">
        <f t="shared" si="2"/>
        <v>6.541666666666667</v>
      </c>
      <c r="H58">
        <f t="shared" si="3"/>
        <v>5.2337962962962967</v>
      </c>
      <c r="I58">
        <f t="shared" si="4"/>
        <v>5.6875</v>
      </c>
      <c r="J58">
        <f t="shared" si="5"/>
        <v>6.0069444444444446</v>
      </c>
      <c r="K58">
        <f t="shared" si="6"/>
        <v>6.125</v>
      </c>
      <c r="L58">
        <f t="shared" si="7"/>
        <v>5.6875</v>
      </c>
    </row>
    <row r="59" spans="4:12" x14ac:dyDescent="0.25">
      <c r="D59">
        <f t="shared" si="8"/>
        <v>68</v>
      </c>
      <c r="E59">
        <f t="shared" si="0"/>
        <v>5.6388888888888893</v>
      </c>
      <c r="F59">
        <f t="shared" si="1"/>
        <v>6.416666666666667</v>
      </c>
      <c r="G59">
        <f t="shared" si="2"/>
        <v>6.6944444444444446</v>
      </c>
      <c r="H59">
        <f t="shared" si="3"/>
        <v>5.2211934156378597</v>
      </c>
      <c r="I59">
        <f t="shared" si="4"/>
        <v>6.0277777777777777</v>
      </c>
      <c r="J59">
        <f t="shared" si="5"/>
        <v>6.3549382716049383</v>
      </c>
      <c r="K59">
        <f t="shared" si="6"/>
        <v>6.416666666666667</v>
      </c>
      <c r="L59">
        <f t="shared" si="7"/>
        <v>6.0277777777777777</v>
      </c>
    </row>
    <row r="60" spans="4:12" x14ac:dyDescent="0.25">
      <c r="D60">
        <f t="shared" si="8"/>
        <v>69</v>
      </c>
      <c r="E60">
        <f t="shared" si="0"/>
        <v>5.7361111111111116</v>
      </c>
      <c r="F60">
        <f t="shared" si="1"/>
        <v>6.7083333333333339</v>
      </c>
      <c r="G60">
        <f t="shared" si="2"/>
        <v>6.8472222222222223</v>
      </c>
      <c r="H60">
        <f t="shared" si="3"/>
        <v>5.2049897119341564</v>
      </c>
      <c r="I60">
        <f t="shared" si="4"/>
        <v>6.4652777777777777</v>
      </c>
      <c r="J60">
        <f t="shared" si="5"/>
        <v>6.6859567901234573</v>
      </c>
      <c r="K60">
        <f t="shared" si="6"/>
        <v>6.7083333333333339</v>
      </c>
      <c r="L60">
        <f t="shared" si="7"/>
        <v>6.4652777777777777</v>
      </c>
    </row>
    <row r="61" spans="4:12" x14ac:dyDescent="0.25">
      <c r="D61">
        <f t="shared" si="8"/>
        <v>70</v>
      </c>
      <c r="E61">
        <f t="shared" si="0"/>
        <v>5.833333333333333</v>
      </c>
      <c r="F61">
        <f t="shared" si="1"/>
        <v>7</v>
      </c>
      <c r="G61">
        <f t="shared" si="2"/>
        <v>7</v>
      </c>
      <c r="H61">
        <f t="shared" si="3"/>
        <v>5.1851851851851851</v>
      </c>
      <c r="I61">
        <f t="shared" si="4"/>
        <v>7</v>
      </c>
      <c r="J61">
        <f t="shared" si="5"/>
        <v>7</v>
      </c>
      <c r="K61">
        <f t="shared" si="6"/>
        <v>7</v>
      </c>
      <c r="L61">
        <f t="shared" si="7"/>
        <v>7</v>
      </c>
    </row>
    <row r="62" spans="4:12" x14ac:dyDescent="0.25">
      <c r="D62">
        <f t="shared" si="8"/>
        <v>71</v>
      </c>
      <c r="E62">
        <f t="shared" si="0"/>
        <v>5.9305555555555554</v>
      </c>
      <c r="F62">
        <f t="shared" si="1"/>
        <v>7.291666666666667</v>
      </c>
      <c r="G62">
        <f t="shared" si="2"/>
        <v>7.1527777777777777</v>
      </c>
      <c r="H62">
        <f t="shared" si="3"/>
        <v>5.1617798353909468</v>
      </c>
      <c r="I62">
        <f t="shared" si="4"/>
        <v>7.6319444444444446</v>
      </c>
      <c r="J62">
        <f t="shared" si="5"/>
        <v>7.2970679012345681</v>
      </c>
      <c r="K62">
        <f t="shared" si="6"/>
        <v>7.1527777777777777</v>
      </c>
      <c r="L62">
        <f t="shared" si="7"/>
        <v>7.2970679012345681</v>
      </c>
    </row>
    <row r="63" spans="4:12" x14ac:dyDescent="0.25">
      <c r="D63">
        <f t="shared" si="8"/>
        <v>72</v>
      </c>
      <c r="E63">
        <f t="shared" si="0"/>
        <v>6.0277777777777777</v>
      </c>
      <c r="F63">
        <f t="shared" si="1"/>
        <v>7.5833333333333339</v>
      </c>
      <c r="G63">
        <f t="shared" si="2"/>
        <v>7.3055555555555554</v>
      </c>
      <c r="H63">
        <f t="shared" si="3"/>
        <v>5.1347736625514404</v>
      </c>
      <c r="I63">
        <f t="shared" si="4"/>
        <v>8.3611111111111107</v>
      </c>
      <c r="J63">
        <f t="shared" si="5"/>
        <v>7.5771604938271606</v>
      </c>
      <c r="K63">
        <f t="shared" si="6"/>
        <v>7.3055555555555554</v>
      </c>
      <c r="L63">
        <f t="shared" si="7"/>
        <v>7.5771604938271606</v>
      </c>
    </row>
    <row r="64" spans="4:12" x14ac:dyDescent="0.25">
      <c r="D64">
        <f t="shared" si="8"/>
        <v>73</v>
      </c>
      <c r="E64">
        <f t="shared" si="0"/>
        <v>6.125</v>
      </c>
      <c r="F64">
        <f t="shared" si="1"/>
        <v>7.875</v>
      </c>
      <c r="G64">
        <f t="shared" si="2"/>
        <v>7.458333333333333</v>
      </c>
      <c r="H64">
        <f t="shared" si="3"/>
        <v>5.104166666666667</v>
      </c>
      <c r="I64">
        <f t="shared" si="4"/>
        <v>9.1875</v>
      </c>
      <c r="J64">
        <f t="shared" si="5"/>
        <v>7.8402777777777777</v>
      </c>
      <c r="K64">
        <f t="shared" si="6"/>
        <v>7.458333333333333</v>
      </c>
      <c r="L64">
        <f t="shared" si="7"/>
        <v>7.8402777777777777</v>
      </c>
    </row>
    <row r="65" spans="4:12" x14ac:dyDescent="0.25">
      <c r="D65">
        <f t="shared" si="8"/>
        <v>74</v>
      </c>
      <c r="E65">
        <f t="shared" si="0"/>
        <v>6.2222222222222223</v>
      </c>
      <c r="F65">
        <f t="shared" si="1"/>
        <v>8.1666666666666679</v>
      </c>
      <c r="G65">
        <f t="shared" si="2"/>
        <v>7.6111111111111107</v>
      </c>
      <c r="H65">
        <f t="shared" si="3"/>
        <v>5.0699588477366255</v>
      </c>
      <c r="I65">
        <f t="shared" si="4"/>
        <v>10.111111111111111</v>
      </c>
      <c r="J65">
        <f t="shared" si="5"/>
        <v>8.0864197530864192</v>
      </c>
      <c r="K65">
        <f t="shared" si="6"/>
        <v>7.6111111111111107</v>
      </c>
      <c r="L65">
        <f t="shared" si="7"/>
        <v>8.0864197530864192</v>
      </c>
    </row>
    <row r="66" spans="4:12" x14ac:dyDescent="0.25">
      <c r="D66">
        <f t="shared" si="8"/>
        <v>75</v>
      </c>
      <c r="E66">
        <f t="shared" ref="E66:E79" si="9">($B$8/($B$6-$B$3))*(D66-$B$3)</f>
        <v>6.3194444444444446</v>
      </c>
      <c r="F66">
        <f t="shared" ref="F66:F79" si="10">(($B$9-$B$8)/($B$5-$B$6))*(D66-$B$6)+$B$8</f>
        <v>8.4583333333333339</v>
      </c>
      <c r="G66">
        <f t="shared" ref="G66:G79" si="11">(($B$7-$B$9)/($B$4-$B$5))*(D66-$B$5)+$B$9</f>
        <v>7.7638888888888893</v>
      </c>
      <c r="H66">
        <f t="shared" ref="H66:H79" si="12">-(($B$8-0)/($B$6-$B$3)^2)*(D66-$B$6)^2+$B$8</f>
        <v>5.032150205761317</v>
      </c>
      <c r="I66">
        <f t="shared" ref="I66:I79" si="13">(($B$9-$B$8)/($B$5-$B$6)^2)*(D66-$B$6)^2+$B$8</f>
        <v>11.131944444444445</v>
      </c>
      <c r="J66">
        <f t="shared" ref="J66:J79" si="14">-(($B$7-$B$9)/($B$4-$B$5)^2)*(D66-$B$4)^2+$B$7</f>
        <v>8.3155864197530871</v>
      </c>
      <c r="K66">
        <f t="shared" ref="K66:K79" si="15">IF(D66&lt;=$B$6,E66,IF(D66&lt;=$B$5,F66,G66))</f>
        <v>7.7638888888888893</v>
      </c>
      <c r="L66">
        <f t="shared" ref="L66:L79" si="16">IF(D66&lt;=$B$6,H66,IF(D66&lt;=$B$5,I66,J66))</f>
        <v>8.3155864197530871</v>
      </c>
    </row>
    <row r="67" spans="4:12" x14ac:dyDescent="0.25">
      <c r="D67">
        <f t="shared" ref="D67:D79" si="17">D66+1</f>
        <v>76</v>
      </c>
      <c r="E67">
        <f t="shared" si="9"/>
        <v>6.416666666666667</v>
      </c>
      <c r="F67">
        <f t="shared" si="10"/>
        <v>8.75</v>
      </c>
      <c r="G67">
        <f t="shared" si="11"/>
        <v>7.916666666666667</v>
      </c>
      <c r="H67">
        <f t="shared" si="12"/>
        <v>4.9907407407407405</v>
      </c>
      <c r="I67">
        <f t="shared" si="13"/>
        <v>12.25</v>
      </c>
      <c r="J67">
        <f t="shared" si="14"/>
        <v>8.5277777777777786</v>
      </c>
      <c r="K67">
        <f t="shared" si="15"/>
        <v>7.916666666666667</v>
      </c>
      <c r="L67">
        <f t="shared" si="16"/>
        <v>8.5277777777777786</v>
      </c>
    </row>
    <row r="68" spans="4:12" x14ac:dyDescent="0.25">
      <c r="D68">
        <f t="shared" si="17"/>
        <v>77</v>
      </c>
      <c r="E68">
        <f t="shared" si="9"/>
        <v>6.5138888888888893</v>
      </c>
      <c r="F68">
        <f t="shared" si="10"/>
        <v>9.0416666666666679</v>
      </c>
      <c r="G68">
        <f t="shared" si="11"/>
        <v>8.0694444444444446</v>
      </c>
      <c r="H68">
        <f t="shared" si="12"/>
        <v>4.9457304526748969</v>
      </c>
      <c r="I68">
        <f t="shared" si="13"/>
        <v>13.465277777777779</v>
      </c>
      <c r="J68">
        <f t="shared" si="14"/>
        <v>8.7229938271604937</v>
      </c>
      <c r="K68">
        <f t="shared" si="15"/>
        <v>8.0694444444444446</v>
      </c>
      <c r="L68">
        <f t="shared" si="16"/>
        <v>8.7229938271604937</v>
      </c>
    </row>
    <row r="69" spans="4:12" x14ac:dyDescent="0.25">
      <c r="D69">
        <f t="shared" si="17"/>
        <v>78</v>
      </c>
      <c r="E69">
        <f t="shared" si="9"/>
        <v>6.6111111111111116</v>
      </c>
      <c r="F69">
        <f t="shared" si="10"/>
        <v>9.3333333333333339</v>
      </c>
      <c r="G69">
        <f t="shared" si="11"/>
        <v>8.2222222222222214</v>
      </c>
      <c r="H69">
        <f t="shared" si="12"/>
        <v>4.8971193415637861</v>
      </c>
      <c r="I69">
        <f t="shared" si="13"/>
        <v>14.777777777777779</v>
      </c>
      <c r="J69">
        <f t="shared" si="14"/>
        <v>8.9012345679012341</v>
      </c>
      <c r="K69">
        <f t="shared" si="15"/>
        <v>8.2222222222222214</v>
      </c>
      <c r="L69">
        <f t="shared" si="16"/>
        <v>8.9012345679012341</v>
      </c>
    </row>
    <row r="70" spans="4:12" x14ac:dyDescent="0.25">
      <c r="D70">
        <f t="shared" si="17"/>
        <v>79</v>
      </c>
      <c r="E70">
        <f t="shared" si="9"/>
        <v>6.708333333333333</v>
      </c>
      <c r="F70">
        <f t="shared" si="10"/>
        <v>9.625</v>
      </c>
      <c r="G70">
        <f t="shared" si="11"/>
        <v>8.375</v>
      </c>
      <c r="H70">
        <f t="shared" si="12"/>
        <v>4.8449074074074074</v>
      </c>
      <c r="I70">
        <f t="shared" si="13"/>
        <v>16.1875</v>
      </c>
      <c r="J70">
        <f t="shared" si="14"/>
        <v>9.0625</v>
      </c>
      <c r="K70">
        <f t="shared" si="15"/>
        <v>8.375</v>
      </c>
      <c r="L70">
        <f t="shared" si="16"/>
        <v>9.0625</v>
      </c>
    </row>
    <row r="71" spans="4:12" x14ac:dyDescent="0.25">
      <c r="D71">
        <f t="shared" si="17"/>
        <v>80</v>
      </c>
      <c r="E71">
        <f t="shared" si="9"/>
        <v>6.8055555555555554</v>
      </c>
      <c r="F71">
        <f t="shared" si="10"/>
        <v>9.9166666666666679</v>
      </c>
      <c r="G71">
        <f t="shared" si="11"/>
        <v>8.5277777777777786</v>
      </c>
      <c r="H71">
        <f t="shared" si="12"/>
        <v>4.7890946502057616</v>
      </c>
      <c r="I71">
        <f t="shared" si="13"/>
        <v>17.694444444444443</v>
      </c>
      <c r="J71">
        <f t="shared" si="14"/>
        <v>9.2067901234567895</v>
      </c>
      <c r="K71">
        <f t="shared" si="15"/>
        <v>8.5277777777777786</v>
      </c>
      <c r="L71">
        <f t="shared" si="16"/>
        <v>9.2067901234567895</v>
      </c>
    </row>
    <row r="72" spans="4:12" x14ac:dyDescent="0.25">
      <c r="D72">
        <f t="shared" si="17"/>
        <v>81</v>
      </c>
      <c r="E72">
        <f t="shared" si="9"/>
        <v>6.9027777777777777</v>
      </c>
      <c r="F72">
        <f t="shared" si="10"/>
        <v>10.208333333333334</v>
      </c>
      <c r="G72">
        <f t="shared" si="11"/>
        <v>8.6805555555555554</v>
      </c>
      <c r="H72">
        <f t="shared" si="12"/>
        <v>4.7296810699588478</v>
      </c>
      <c r="I72">
        <f t="shared" si="13"/>
        <v>19.298611111111111</v>
      </c>
      <c r="J72">
        <f t="shared" si="14"/>
        <v>9.3341049382716044</v>
      </c>
      <c r="K72">
        <f t="shared" si="15"/>
        <v>8.6805555555555554</v>
      </c>
      <c r="L72">
        <f t="shared" si="16"/>
        <v>9.3341049382716044</v>
      </c>
    </row>
    <row r="73" spans="4:12" x14ac:dyDescent="0.25">
      <c r="D73">
        <f t="shared" si="17"/>
        <v>82</v>
      </c>
      <c r="E73">
        <f t="shared" si="9"/>
        <v>7</v>
      </c>
      <c r="F73">
        <f t="shared" si="10"/>
        <v>10.5</v>
      </c>
      <c r="G73">
        <f t="shared" si="11"/>
        <v>8.8333333333333339</v>
      </c>
      <c r="H73">
        <f t="shared" si="12"/>
        <v>4.666666666666667</v>
      </c>
      <c r="I73">
        <f t="shared" si="13"/>
        <v>21</v>
      </c>
      <c r="J73">
        <f t="shared" si="14"/>
        <v>9.4444444444444446</v>
      </c>
      <c r="K73">
        <f t="shared" si="15"/>
        <v>8.8333333333333339</v>
      </c>
      <c r="L73">
        <f t="shared" si="16"/>
        <v>9.4444444444444446</v>
      </c>
    </row>
    <row r="74" spans="4:12" x14ac:dyDescent="0.25">
      <c r="D74">
        <f t="shared" si="17"/>
        <v>83</v>
      </c>
      <c r="E74">
        <f t="shared" si="9"/>
        <v>7.0972222222222223</v>
      </c>
      <c r="F74">
        <f t="shared" si="10"/>
        <v>10.791666666666668</v>
      </c>
      <c r="G74">
        <f t="shared" si="11"/>
        <v>8.9861111111111107</v>
      </c>
      <c r="H74">
        <f t="shared" si="12"/>
        <v>4.6000514403292181</v>
      </c>
      <c r="I74">
        <f t="shared" si="13"/>
        <v>22.798611111111111</v>
      </c>
      <c r="J74">
        <f t="shared" si="14"/>
        <v>9.5378086419753085</v>
      </c>
      <c r="K74">
        <f t="shared" si="15"/>
        <v>8.9861111111111107</v>
      </c>
      <c r="L74">
        <f t="shared" si="16"/>
        <v>9.5378086419753085</v>
      </c>
    </row>
    <row r="75" spans="4:12" x14ac:dyDescent="0.25">
      <c r="D75">
        <f t="shared" si="17"/>
        <v>84</v>
      </c>
      <c r="E75">
        <f t="shared" si="9"/>
        <v>7.1944444444444446</v>
      </c>
      <c r="F75">
        <f t="shared" si="10"/>
        <v>11.083333333333334</v>
      </c>
      <c r="G75">
        <f t="shared" si="11"/>
        <v>9.1388888888888893</v>
      </c>
      <c r="H75">
        <f t="shared" si="12"/>
        <v>4.5298353909465021</v>
      </c>
      <c r="I75">
        <f t="shared" si="13"/>
        <v>24.694444444444446</v>
      </c>
      <c r="J75">
        <f t="shared" si="14"/>
        <v>9.6141975308641978</v>
      </c>
      <c r="K75">
        <f t="shared" si="15"/>
        <v>9.1388888888888893</v>
      </c>
      <c r="L75">
        <f t="shared" si="16"/>
        <v>9.6141975308641978</v>
      </c>
    </row>
    <row r="76" spans="4:12" x14ac:dyDescent="0.25">
      <c r="D76">
        <f t="shared" si="17"/>
        <v>85</v>
      </c>
      <c r="E76">
        <f t="shared" si="9"/>
        <v>7.291666666666667</v>
      </c>
      <c r="F76">
        <f t="shared" si="10"/>
        <v>11.375</v>
      </c>
      <c r="G76">
        <f t="shared" si="11"/>
        <v>9.2916666666666679</v>
      </c>
      <c r="H76">
        <f t="shared" si="12"/>
        <v>4.4560185185185182</v>
      </c>
      <c r="I76">
        <f t="shared" si="13"/>
        <v>26.6875</v>
      </c>
      <c r="J76">
        <f t="shared" si="14"/>
        <v>9.6736111111111107</v>
      </c>
      <c r="K76">
        <f t="shared" si="15"/>
        <v>9.2916666666666679</v>
      </c>
      <c r="L76">
        <f t="shared" si="16"/>
        <v>9.6736111111111107</v>
      </c>
    </row>
    <row r="77" spans="4:12" x14ac:dyDescent="0.25">
      <c r="D77">
        <f t="shared" si="17"/>
        <v>86</v>
      </c>
      <c r="E77">
        <f t="shared" si="9"/>
        <v>7.3888888888888893</v>
      </c>
      <c r="F77">
        <f t="shared" si="10"/>
        <v>11.666666666666668</v>
      </c>
      <c r="G77">
        <f t="shared" si="11"/>
        <v>9.4444444444444446</v>
      </c>
      <c r="H77">
        <f t="shared" si="12"/>
        <v>4.3786008230452671</v>
      </c>
      <c r="I77">
        <f t="shared" si="13"/>
        <v>28.777777777777779</v>
      </c>
      <c r="J77">
        <f t="shared" si="14"/>
        <v>9.716049382716049</v>
      </c>
      <c r="K77">
        <f t="shared" si="15"/>
        <v>9.4444444444444446</v>
      </c>
      <c r="L77">
        <f t="shared" si="16"/>
        <v>9.716049382716049</v>
      </c>
    </row>
    <row r="78" spans="4:12" x14ac:dyDescent="0.25">
      <c r="D78">
        <f t="shared" si="17"/>
        <v>87</v>
      </c>
      <c r="E78">
        <f t="shared" si="9"/>
        <v>7.4861111111111116</v>
      </c>
      <c r="F78">
        <f t="shared" si="10"/>
        <v>11.958333333333334</v>
      </c>
      <c r="G78">
        <f t="shared" si="11"/>
        <v>9.5972222222222214</v>
      </c>
      <c r="H78">
        <f t="shared" si="12"/>
        <v>4.2975823045267489</v>
      </c>
      <c r="I78">
        <f t="shared" si="13"/>
        <v>30.965277777777779</v>
      </c>
      <c r="J78">
        <f t="shared" si="14"/>
        <v>9.7415123456790127</v>
      </c>
      <c r="K78">
        <f t="shared" si="15"/>
        <v>9.5972222222222214</v>
      </c>
      <c r="L78">
        <f t="shared" si="16"/>
        <v>9.7415123456790127</v>
      </c>
    </row>
    <row r="79" spans="4:12" x14ac:dyDescent="0.25">
      <c r="D79">
        <f t="shared" si="17"/>
        <v>88</v>
      </c>
      <c r="E79">
        <f t="shared" si="9"/>
        <v>7.583333333333333</v>
      </c>
      <c r="F79">
        <f t="shared" si="10"/>
        <v>12.25</v>
      </c>
      <c r="G79">
        <f t="shared" si="11"/>
        <v>9.75</v>
      </c>
      <c r="H79">
        <f t="shared" si="12"/>
        <v>4.2129629629629628</v>
      </c>
      <c r="I79">
        <f t="shared" si="13"/>
        <v>33.25</v>
      </c>
      <c r="J79">
        <f t="shared" si="14"/>
        <v>9.75</v>
      </c>
      <c r="K79">
        <f t="shared" si="15"/>
        <v>9.75</v>
      </c>
      <c r="L79">
        <f t="shared" si="16"/>
        <v>9.75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
  <sheetViews>
    <sheetView workbookViewId="0">
      <selection activeCell="A4" sqref="A4"/>
    </sheetView>
  </sheetViews>
  <sheetFormatPr defaultRowHeight="15" x14ac:dyDescent="0.25"/>
  <cols>
    <col min="1" max="1" width="18.28515625" customWidth="1"/>
    <col min="2" max="3" width="27.42578125" customWidth="1"/>
    <col min="4" max="4" width="27.140625" customWidth="1"/>
    <col min="5" max="5" width="27.5703125" customWidth="1"/>
    <col min="6" max="6" width="27.42578125" customWidth="1"/>
  </cols>
  <sheetData>
    <row r="1" spans="1:32" ht="59.25" customHeight="1" thickTop="1" thickBot="1" x14ac:dyDescent="0.3">
      <c r="A1" s="188" t="s">
        <v>253</v>
      </c>
      <c r="B1" s="189"/>
      <c r="C1" s="189"/>
      <c r="D1" s="189"/>
      <c r="E1" s="189"/>
      <c r="F1" s="190"/>
      <c r="G1" s="129"/>
      <c r="H1" s="1"/>
      <c r="I1" s="129"/>
      <c r="J1" s="129"/>
      <c r="K1" s="129"/>
      <c r="L1" s="129"/>
      <c r="M1" s="129"/>
      <c r="N1" s="3"/>
      <c r="O1" s="3"/>
      <c r="P1" s="129"/>
      <c r="Q1" s="129"/>
      <c r="R1" s="129"/>
      <c r="S1" s="4"/>
      <c r="T1" s="4"/>
      <c r="U1" s="4"/>
      <c r="V1" s="4"/>
      <c r="W1" s="4"/>
      <c r="X1" s="4"/>
      <c r="Y1" s="4"/>
      <c r="Z1" s="4"/>
      <c r="AA1" s="4"/>
      <c r="AB1" s="4"/>
      <c r="AC1" s="4"/>
      <c r="AD1" s="4"/>
      <c r="AE1" s="4"/>
      <c r="AF1" s="4"/>
    </row>
    <row r="2" spans="1:32" ht="26.25" thickTop="1" x14ac:dyDescent="0.35">
      <c r="A2" s="212" t="s">
        <v>224</v>
      </c>
      <c r="B2" s="224"/>
      <c r="C2" s="224"/>
      <c r="D2" s="224"/>
      <c r="E2" s="224"/>
      <c r="F2" s="225"/>
      <c r="G2" s="91"/>
      <c r="H2" s="70"/>
      <c r="I2" s="71"/>
      <c r="J2" s="71"/>
      <c r="K2" s="71"/>
      <c r="L2" s="71"/>
      <c r="M2" s="71"/>
      <c r="N2" s="72"/>
      <c r="O2" s="72"/>
      <c r="P2" s="71"/>
      <c r="Q2" s="71"/>
      <c r="R2" s="71"/>
      <c r="S2" s="73"/>
      <c r="T2" s="73"/>
      <c r="U2" s="73"/>
      <c r="V2" s="73"/>
      <c r="W2" s="73"/>
      <c r="X2" s="73"/>
      <c r="Y2" s="73"/>
      <c r="Z2" s="73"/>
      <c r="AA2" s="73"/>
      <c r="AB2" s="73"/>
      <c r="AC2" s="73"/>
      <c r="AD2" s="73"/>
      <c r="AE2" s="73"/>
      <c r="AF2" s="73"/>
    </row>
    <row r="4" spans="1:32" ht="29.25" customHeight="1" x14ac:dyDescent="0.35">
      <c r="B4" s="223" t="str">
        <f>IF(LEN(Verzamelstaat!C5)=0,CONCATENATE("De naam van de student is niet ingevuld"),)</f>
        <v>De naam van de student is niet ingevuld</v>
      </c>
      <c r="C4" s="223"/>
      <c r="D4" s="223"/>
      <c r="E4" s="223"/>
      <c r="F4" s="223"/>
      <c r="G4" s="130" t="str">
        <f>B4</f>
        <v>De naam van de student is niet ingevuld</v>
      </c>
    </row>
    <row r="5" spans="1:32" ht="29.25" customHeight="1" x14ac:dyDescent="0.35">
      <c r="B5" s="221" t="str">
        <f>IF(LEN(Verzamelstaat!C7)=0,CONCATENATE("De naam van de 1e beoordelaar is niet ingevuld"),)</f>
        <v>De naam van de 1e beoordelaar is niet ingevuld</v>
      </c>
      <c r="C5" s="221"/>
      <c r="D5" s="221"/>
      <c r="E5" s="221"/>
      <c r="F5" s="221"/>
      <c r="G5" s="130" t="str">
        <f t="shared" ref="G5:G15" si="0">B5</f>
        <v>De naam van de 1e beoordelaar is niet ingevuld</v>
      </c>
    </row>
    <row r="6" spans="1:32" ht="29.25" customHeight="1" x14ac:dyDescent="0.35">
      <c r="B6" s="220" t="str">
        <f>IF(LEN(Verzamelstaat!C8)=0,CONCATENATE("De naam van de 2e beoordelaar is niet ingevuld"),)</f>
        <v>De naam van de 2e beoordelaar is niet ingevuld</v>
      </c>
      <c r="C6" s="220"/>
      <c r="D6" s="220"/>
      <c r="E6" s="220"/>
      <c r="F6" s="220"/>
      <c r="G6" s="130" t="str">
        <f t="shared" si="0"/>
        <v>De naam van de 2e beoordelaar is niet ingevuld</v>
      </c>
    </row>
    <row r="7" spans="1:32" ht="29.25" customHeight="1" x14ac:dyDescent="0.35">
      <c r="B7" s="220" t="str">
        <f>IF(LEN(Verzamelstaat!C9)=0,CONCATENATE("De naam van de 3e beoordelaar is niet ingevuld"),)</f>
        <v>De naam van de 3e beoordelaar is niet ingevuld</v>
      </c>
      <c r="C7" s="220"/>
      <c r="D7" s="220"/>
      <c r="E7" s="220"/>
      <c r="F7" s="220"/>
      <c r="G7" s="130" t="str">
        <f t="shared" si="0"/>
        <v>De naam van de 3e beoordelaar is niet ingevuld</v>
      </c>
    </row>
    <row r="8" spans="1:32" ht="29.25" customHeight="1" x14ac:dyDescent="0.35">
      <c r="B8" s="220" t="str">
        <f>IF(LEN(Verzamelstaat!C11)=0,CONCATENATE("De naam van de examinator is niet ingevuld"),)</f>
        <v>De naam van de examinator is niet ingevuld</v>
      </c>
      <c r="C8" s="220"/>
      <c r="D8" s="220"/>
      <c r="E8" s="220"/>
      <c r="F8" s="220"/>
      <c r="G8" s="130" t="str">
        <f t="shared" si="0"/>
        <v>De naam van de examinator is niet ingevuld</v>
      </c>
    </row>
    <row r="9" spans="1:32" ht="29.25" customHeight="1" x14ac:dyDescent="0.35">
      <c r="B9" s="220">
        <f>IF(Verzamelstaat!F13=0,CONCATENATE("Het aantal lesuren is niet ingevuld"),)</f>
        <v>0</v>
      </c>
      <c r="C9" s="220"/>
      <c r="D9" s="220"/>
      <c r="E9" s="220"/>
      <c r="F9" s="220"/>
      <c r="G9" s="130">
        <f t="shared" si="0"/>
        <v>0</v>
      </c>
    </row>
    <row r="10" spans="1:32" ht="29.25" customHeight="1" x14ac:dyDescent="0.35">
      <c r="B10" s="220" t="str">
        <f>IF(LEN(Verzamelstaat!C10)=0,CONCATENATE("De datum van het tentamen is niet ingevuld"),)</f>
        <v>De datum van het tentamen is niet ingevuld</v>
      </c>
      <c r="C10" s="220"/>
      <c r="D10" s="220"/>
      <c r="E10" s="220"/>
      <c r="F10" s="220"/>
      <c r="G10" s="130"/>
    </row>
    <row r="11" spans="1:32" ht="29.25" customHeight="1" x14ac:dyDescent="0.25">
      <c r="A11" s="222" t="str">
        <f>IF(NOT(Verzamelstaat!D38),CONCATENATE("Er is niet voldaan aan de voorwaardelijke criteria:"),CONCATENATE("Er is voldaan aan de voorwaardelijke criteria"))</f>
        <v>Er is niet voldaan aan de voorwaardelijke criteria:</v>
      </c>
      <c r="B11" s="222"/>
      <c r="C11" s="222"/>
      <c r="D11" s="222"/>
      <c r="E11" s="222"/>
      <c r="F11" s="222"/>
      <c r="G11" s="130" t="str">
        <f>A11</f>
        <v>Er is niet voldaan aan de voorwaardelijke criteria:</v>
      </c>
    </row>
    <row r="12" spans="1:32" ht="29.25" customHeight="1" x14ac:dyDescent="0.35">
      <c r="B12" s="223" t="str">
        <f>IF(NOT(Verzamelstaat!G2),CONCATENATE("De rubric voor Vakdidactisch Specialist is niet compleet ingevuld"),)</f>
        <v>De rubric voor Vakdidactisch Specialist is niet compleet ingevuld</v>
      </c>
      <c r="C12" s="223"/>
      <c r="D12" s="223"/>
      <c r="E12" s="223"/>
      <c r="F12" s="223"/>
      <c r="G12" s="130" t="str">
        <f t="shared" si="0"/>
        <v>De rubric voor Vakdidactisch Specialist is niet compleet ingevuld</v>
      </c>
    </row>
    <row r="13" spans="1:32" ht="29.25" customHeight="1" x14ac:dyDescent="0.35">
      <c r="B13" s="221" t="str">
        <f>IF(NOT(Verzamelstaat!H2),CONCATENATE("De rubric voor Pedagoog is niet compleet ingevuld"),)</f>
        <v>De rubric voor Pedagoog is niet compleet ingevuld</v>
      </c>
      <c r="C13" s="221"/>
      <c r="D13" s="221"/>
      <c r="E13" s="221"/>
      <c r="F13" s="221"/>
      <c r="G13" s="130" t="str">
        <f t="shared" si="0"/>
        <v>De rubric voor Pedagoog is niet compleet ingevuld</v>
      </c>
    </row>
    <row r="14" spans="1:32" ht="29.25" customHeight="1" x14ac:dyDescent="0.35">
      <c r="B14" s="221" t="str">
        <f>IF(NOT(Verzamelstaat!I2),CONCATENATE("De rubric voor Professional is niet compleet ingevuld"),)</f>
        <v>De rubric voor Professional is niet compleet ingevuld</v>
      </c>
      <c r="C14" s="221"/>
      <c r="D14" s="221"/>
      <c r="E14" s="221"/>
      <c r="F14" s="221"/>
      <c r="G14" s="130" t="str">
        <f t="shared" si="0"/>
        <v>De rubric voor Professional is niet compleet ingevuld</v>
      </c>
    </row>
    <row r="15" spans="1:32" ht="29.25" customHeight="1" x14ac:dyDescent="0.35">
      <c r="B15" s="221" t="str">
        <f>IF(NOT(AND(Verzamelstaat!H32,Verzamelstaat!H33)),CONCATENATE("De portfoliocheck is niet afgevinkt"),)</f>
        <v>De portfoliocheck is niet afgevinkt</v>
      </c>
      <c r="C15" s="221"/>
      <c r="D15" s="221"/>
      <c r="E15" s="221"/>
      <c r="F15" s="221"/>
      <c r="G15" s="130" t="str">
        <f t="shared" si="0"/>
        <v>De portfoliocheck is niet afgevinkt</v>
      </c>
    </row>
    <row r="16" spans="1:32" ht="29.25" customHeight="1" x14ac:dyDescent="0.35">
      <c r="B16" s="221" t="str">
        <f>IF(NOT(Woordrapport!H4),CONCATENATE("Het woordrapport is niet ingevuld of niet afgevinkt"),)</f>
        <v>Het woordrapport is niet ingevuld of niet afgevinkt</v>
      </c>
      <c r="C16" s="221"/>
      <c r="D16" s="221"/>
      <c r="E16" s="221"/>
      <c r="F16" s="221"/>
    </row>
    <row r="17" spans="2:6" ht="29.25" customHeight="1" x14ac:dyDescent="0.35">
      <c r="B17" s="219" t="str">
        <f>IF(AND(NOT(Verzamelstaat!H34),Verzamelstaat!F43&lt;6,NOT(VerlengdeStage!H4)),CONCATENATE("De afspraken voor de herkansing zijn niet ingevuld in het tabblad 'Verlengde stage'"),)</f>
        <v>De afspraken voor de herkansing zijn niet ingevuld in het tabblad 'Verlengde stage'</v>
      </c>
      <c r="C17" s="219"/>
      <c r="D17" s="219"/>
      <c r="E17" s="219"/>
      <c r="F17" s="219"/>
    </row>
  </sheetData>
  <sheetProtection algorithmName="SHA-512" hashValue="B4bIQ3L/+NDNrFp/80tUylNjeigV3Se+VFC4+jnCEaRgFsijh9eyAAKF7RJ/QRsVImO1vwrq4zsS5P7tdYVfiA==" saltValue="+ViuKAJYzQAcax453VYYxQ==" spinCount="100000" sheet="1" objects="1" scenarios="1"/>
  <mergeCells count="16">
    <mergeCell ref="A1:F1"/>
    <mergeCell ref="A2:F2"/>
    <mergeCell ref="B4:F4"/>
    <mergeCell ref="B5:F5"/>
    <mergeCell ref="B6:F6"/>
    <mergeCell ref="B17:F17"/>
    <mergeCell ref="B10:F10"/>
    <mergeCell ref="B7:F7"/>
    <mergeCell ref="B8:F8"/>
    <mergeCell ref="B9:F9"/>
    <mergeCell ref="B16:F16"/>
    <mergeCell ref="A11:F11"/>
    <mergeCell ref="B12:F12"/>
    <mergeCell ref="B13:F13"/>
    <mergeCell ref="B14:F14"/>
    <mergeCell ref="B15:F15"/>
  </mergeCells>
  <conditionalFormatting sqref="C4:F5 C9:F10 B4:B10">
    <cfRule type="expression" dxfId="44" priority="4">
      <formula>NOT(B4)</formula>
    </cfRule>
  </conditionalFormatting>
  <conditionalFormatting sqref="B12:F16">
    <cfRule type="expression" dxfId="43" priority="3">
      <formula>NOT(B12)</formula>
    </cfRule>
  </conditionalFormatting>
  <conditionalFormatting sqref="B17:F17">
    <cfRule type="expression" dxfId="42" priority="1">
      <formula>NOT(B17)</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2"/>
  <sheetViews>
    <sheetView topLeftCell="A4" workbookViewId="0">
      <selection activeCell="C10" sqref="C10:F10"/>
    </sheetView>
  </sheetViews>
  <sheetFormatPr defaultRowHeight="15" x14ac:dyDescent="0.25"/>
  <cols>
    <col min="1" max="1" width="18.28515625" customWidth="1"/>
    <col min="2" max="3" width="27.42578125" customWidth="1"/>
    <col min="4" max="4" width="27.140625" customWidth="1"/>
    <col min="5" max="5" width="27.5703125" customWidth="1"/>
    <col min="6" max="6" width="27.42578125" customWidth="1"/>
    <col min="7" max="7" width="0" hidden="1" customWidth="1"/>
    <col min="8" max="8" width="21.140625" hidden="1" customWidth="1"/>
    <col min="9" max="9" width="0" hidden="1" customWidth="1"/>
  </cols>
  <sheetData>
    <row r="1" spans="1:32" ht="59.25" customHeight="1" thickTop="1" thickBot="1" x14ac:dyDescent="0.3">
      <c r="A1" s="188" t="s">
        <v>253</v>
      </c>
      <c r="B1" s="189"/>
      <c r="C1" s="189"/>
      <c r="D1" s="189"/>
      <c r="E1" s="189"/>
      <c r="F1" s="190"/>
      <c r="G1" s="147"/>
      <c r="H1" s="1"/>
      <c r="I1" s="147"/>
      <c r="J1" s="147"/>
      <c r="K1" s="147"/>
      <c r="L1" s="147"/>
      <c r="M1" s="147"/>
      <c r="N1" s="3"/>
      <c r="O1" s="3"/>
      <c r="P1" s="147"/>
      <c r="Q1" s="147"/>
      <c r="R1" s="147"/>
      <c r="S1" s="4"/>
      <c r="T1" s="4"/>
      <c r="U1" s="4"/>
      <c r="V1" s="4"/>
      <c r="W1" s="4"/>
      <c r="X1" s="4"/>
      <c r="Y1" s="4"/>
      <c r="Z1" s="4"/>
      <c r="AA1" s="4"/>
      <c r="AB1" s="4"/>
      <c r="AC1" s="4"/>
      <c r="AD1" s="4"/>
      <c r="AE1" s="4"/>
      <c r="AF1" s="4"/>
    </row>
    <row r="2" spans="1:32" ht="55.5" customHeight="1" thickTop="1" thickBot="1" x14ac:dyDescent="0.4">
      <c r="A2" s="212" t="s">
        <v>278</v>
      </c>
      <c r="B2" s="224"/>
      <c r="C2" s="224"/>
      <c r="D2" s="224"/>
      <c r="E2" s="224"/>
      <c r="F2" s="225"/>
      <c r="G2" s="91"/>
      <c r="H2" s="70"/>
      <c r="I2" s="71"/>
      <c r="J2" s="71"/>
      <c r="K2" s="71"/>
      <c r="L2" s="71"/>
      <c r="M2" s="71"/>
      <c r="N2" s="72"/>
      <c r="O2" s="72"/>
      <c r="P2" s="71"/>
      <c r="Q2" s="71"/>
      <c r="R2" s="71"/>
      <c r="S2" s="73"/>
      <c r="T2" s="73"/>
      <c r="U2" s="73"/>
      <c r="V2" s="73"/>
      <c r="W2" s="73"/>
      <c r="X2" s="73"/>
      <c r="Y2" s="73"/>
      <c r="Z2" s="73"/>
      <c r="AA2" s="73"/>
      <c r="AB2" s="73"/>
      <c r="AC2" s="73"/>
      <c r="AD2" s="73"/>
      <c r="AE2" s="73"/>
      <c r="AF2" s="73"/>
    </row>
    <row r="3" spans="1:32" ht="55.5" customHeight="1" thickTop="1" thickBot="1" x14ac:dyDescent="0.4">
      <c r="A3" s="231" t="s">
        <v>282</v>
      </c>
      <c r="B3" s="232"/>
      <c r="C3" s="232"/>
      <c r="D3" s="232"/>
      <c r="E3" s="232"/>
      <c r="F3" s="233"/>
      <c r="G3" s="91"/>
      <c r="H3" s="70"/>
      <c r="I3" s="71"/>
      <c r="J3" s="71"/>
      <c r="K3" s="71"/>
      <c r="L3" s="71"/>
      <c r="M3" s="71"/>
      <c r="N3" s="72"/>
      <c r="O3" s="72"/>
      <c r="P3" s="71"/>
      <c r="Q3" s="71"/>
      <c r="R3" s="71"/>
      <c r="S3" s="73"/>
      <c r="T3" s="73"/>
      <c r="U3" s="73"/>
      <c r="V3" s="73"/>
      <c r="W3" s="73"/>
      <c r="X3" s="73"/>
      <c r="Y3" s="73"/>
      <c r="Z3" s="73"/>
      <c r="AA3" s="73"/>
      <c r="AB3" s="73"/>
      <c r="AC3" s="73"/>
      <c r="AD3" s="73"/>
      <c r="AE3" s="73"/>
      <c r="AF3" s="73"/>
    </row>
    <row r="4" spans="1:32" ht="18" customHeight="1" thickTop="1" thickBot="1" x14ac:dyDescent="0.3">
      <c r="A4" s="20"/>
      <c r="B4" s="169" t="str">
        <f>IF(OR((Verzamelstaat!F43&gt;5),Verzamelstaat!H12=1),"Dit formulier hoeft niet te worden ingevuld","De afspraken voor de verlengde stage zijn ingevuld")</f>
        <v>Dit formulier hoeft niet te worden ingevuld</v>
      </c>
      <c r="C4" s="169"/>
      <c r="D4" s="169"/>
      <c r="E4" s="169"/>
      <c r="F4" s="21"/>
      <c r="G4" s="91"/>
      <c r="H4" s="13" t="b">
        <f>AND(H14:H26)</f>
        <v>0</v>
      </c>
      <c r="I4" s="149"/>
      <c r="J4" s="149"/>
      <c r="K4" s="149"/>
      <c r="L4" s="149"/>
      <c r="M4" s="149"/>
      <c r="N4" s="15"/>
      <c r="O4" s="15"/>
      <c r="P4" s="149"/>
      <c r="Q4" s="149"/>
      <c r="R4" s="149"/>
      <c r="S4" s="16"/>
      <c r="T4" s="16"/>
      <c r="U4" s="16"/>
      <c r="V4" s="16"/>
      <c r="W4" s="16"/>
      <c r="X4" s="16"/>
      <c r="Y4" s="16"/>
      <c r="Z4" s="16"/>
      <c r="AA4" s="16"/>
      <c r="AB4" s="16"/>
      <c r="AC4" s="16"/>
      <c r="AD4" s="16"/>
      <c r="AE4" s="16"/>
      <c r="AF4" s="16"/>
    </row>
    <row r="5" spans="1:32" ht="20.25" customHeight="1" thickTop="1" x14ac:dyDescent="0.25">
      <c r="A5" s="191" t="s">
        <v>6</v>
      </c>
      <c r="B5" s="192"/>
      <c r="C5" s="226">
        <f>Verzamelstaat!C5</f>
        <v>0</v>
      </c>
      <c r="D5" s="227"/>
      <c r="E5" s="227"/>
      <c r="F5" s="228"/>
      <c r="G5" s="91"/>
      <c r="H5" s="13"/>
      <c r="I5" s="148"/>
      <c r="J5" s="148"/>
      <c r="K5" s="148"/>
      <c r="L5" s="148"/>
      <c r="M5" s="148"/>
      <c r="N5" s="15"/>
      <c r="O5" s="15"/>
      <c r="P5" s="148"/>
      <c r="Q5" s="148"/>
      <c r="R5" s="148"/>
      <c r="S5" s="16"/>
      <c r="T5" s="16"/>
      <c r="U5" s="16"/>
      <c r="V5" s="16"/>
      <c r="W5" s="16"/>
      <c r="X5" s="16"/>
      <c r="Y5" s="16"/>
      <c r="Z5" s="16"/>
      <c r="AA5" s="16"/>
      <c r="AB5" s="16"/>
      <c r="AC5" s="16"/>
      <c r="AD5" s="16"/>
      <c r="AE5" s="16"/>
      <c r="AF5" s="16"/>
    </row>
    <row r="6" spans="1:32" ht="20.25" customHeight="1" x14ac:dyDescent="0.25">
      <c r="A6" s="191" t="s">
        <v>256</v>
      </c>
      <c r="B6" s="192"/>
      <c r="C6" s="226">
        <f>Verzamelstaat!C6</f>
        <v>0</v>
      </c>
      <c r="D6" s="227"/>
      <c r="E6" s="227"/>
      <c r="F6" s="228"/>
      <c r="G6" s="91"/>
      <c r="H6" s="13"/>
      <c r="I6" s="148"/>
      <c r="J6" s="148"/>
      <c r="K6" s="148"/>
      <c r="L6" s="148"/>
      <c r="M6" s="148"/>
      <c r="N6" s="15"/>
      <c r="O6" s="15"/>
      <c r="P6" s="148"/>
      <c r="Q6" s="148"/>
      <c r="R6" s="148"/>
      <c r="S6" s="16"/>
      <c r="T6" s="16"/>
      <c r="U6" s="16"/>
      <c r="V6" s="16"/>
      <c r="W6" s="16"/>
      <c r="X6" s="16"/>
      <c r="Y6" s="16"/>
      <c r="Z6" s="16"/>
      <c r="AA6" s="16"/>
      <c r="AB6" s="16"/>
      <c r="AC6" s="16"/>
      <c r="AD6" s="16"/>
      <c r="AE6" s="16"/>
      <c r="AF6" s="16"/>
    </row>
    <row r="7" spans="1:32" ht="18.75" customHeight="1" x14ac:dyDescent="0.25">
      <c r="A7" s="191" t="s">
        <v>280</v>
      </c>
      <c r="B7" s="192"/>
      <c r="C7" s="226">
        <f>Verzamelstaat!C7</f>
        <v>0</v>
      </c>
      <c r="D7" s="227"/>
      <c r="E7" s="227"/>
      <c r="F7" s="228"/>
      <c r="G7" s="91"/>
      <c r="H7" s="13"/>
      <c r="I7" s="148"/>
      <c r="J7" s="148"/>
      <c r="K7" s="148"/>
      <c r="L7" s="148"/>
      <c r="M7" s="148"/>
      <c r="N7" s="15"/>
      <c r="O7" s="15"/>
      <c r="P7" s="148"/>
      <c r="Q7" s="148"/>
      <c r="R7" s="148"/>
      <c r="S7" s="16"/>
      <c r="T7" s="16"/>
      <c r="U7" s="16"/>
      <c r="V7" s="16"/>
      <c r="W7" s="16"/>
      <c r="X7" s="16"/>
      <c r="Y7" s="16"/>
      <c r="Z7" s="16"/>
      <c r="AA7" s="16"/>
      <c r="AB7" s="16"/>
      <c r="AC7" s="16"/>
      <c r="AD7" s="16"/>
      <c r="AE7" s="16"/>
      <c r="AF7" s="16"/>
    </row>
    <row r="8" spans="1:32" ht="19.5" customHeight="1" x14ac:dyDescent="0.25">
      <c r="A8" s="191" t="s">
        <v>236</v>
      </c>
      <c r="B8" s="192"/>
      <c r="C8" s="226">
        <f>Verzamelstaat!C8</f>
        <v>0</v>
      </c>
      <c r="D8" s="227"/>
      <c r="E8" s="227"/>
      <c r="F8" s="228"/>
      <c r="G8" s="91"/>
      <c r="H8" s="13"/>
      <c r="I8" s="148"/>
      <c r="J8" s="148"/>
      <c r="K8" s="148"/>
      <c r="L8" s="148"/>
      <c r="M8" s="148"/>
      <c r="N8" s="15"/>
      <c r="O8" s="15"/>
      <c r="P8" s="148"/>
      <c r="Q8" s="148"/>
      <c r="R8" s="148"/>
      <c r="S8" s="16"/>
      <c r="T8" s="16"/>
      <c r="U8" s="16"/>
      <c r="V8" s="16"/>
      <c r="W8" s="16"/>
      <c r="X8" s="16"/>
      <c r="Y8" s="16"/>
      <c r="Z8" s="16"/>
      <c r="AA8" s="16"/>
      <c r="AB8" s="16"/>
      <c r="AC8" s="16"/>
      <c r="AD8" s="16"/>
      <c r="AE8" s="16"/>
      <c r="AF8" s="16"/>
    </row>
    <row r="9" spans="1:32" ht="18" customHeight="1" x14ac:dyDescent="0.25">
      <c r="A9" s="191" t="s">
        <v>172</v>
      </c>
      <c r="B9" s="192"/>
      <c r="C9" s="226">
        <f>Verzamelstaat!C9</f>
        <v>0</v>
      </c>
      <c r="D9" s="227"/>
      <c r="E9" s="227"/>
      <c r="F9" s="228"/>
      <c r="G9" s="91"/>
      <c r="H9" s="13"/>
      <c r="I9" s="148"/>
      <c r="J9" s="148"/>
      <c r="K9" s="148"/>
      <c r="L9" s="148"/>
      <c r="M9" s="148"/>
      <c r="N9" s="15"/>
      <c r="O9" s="15"/>
      <c r="P9" s="148"/>
      <c r="Q9" s="148"/>
      <c r="R9" s="148"/>
      <c r="S9" s="16"/>
      <c r="T9" s="16"/>
      <c r="U9" s="16"/>
      <c r="V9" s="16"/>
      <c r="W9" s="16"/>
      <c r="X9" s="16"/>
      <c r="Y9" s="16"/>
      <c r="Z9" s="16"/>
      <c r="AA9" s="16"/>
      <c r="AB9" s="16"/>
      <c r="AC9" s="16"/>
      <c r="AD9" s="16"/>
      <c r="AE9" s="16"/>
      <c r="AF9" s="16"/>
    </row>
    <row r="10" spans="1:32" ht="18" customHeight="1" x14ac:dyDescent="0.25">
      <c r="A10" s="191" t="s">
        <v>264</v>
      </c>
      <c r="B10" s="192"/>
      <c r="C10" s="229">
        <f>Verzamelstaat!C10</f>
        <v>0</v>
      </c>
      <c r="D10" s="229"/>
      <c r="E10" s="229"/>
      <c r="F10" s="230"/>
      <c r="G10" s="91"/>
      <c r="H10" s="13"/>
      <c r="I10" s="148"/>
      <c r="J10" s="148"/>
      <c r="K10" s="148"/>
      <c r="L10" s="148"/>
      <c r="M10" s="148"/>
      <c r="N10" s="15"/>
      <c r="O10" s="15"/>
      <c r="P10" s="148"/>
      <c r="Q10" s="148"/>
      <c r="R10" s="148"/>
      <c r="S10" s="16"/>
      <c r="T10" s="16"/>
      <c r="U10" s="16"/>
      <c r="V10" s="16"/>
      <c r="W10" s="16"/>
      <c r="X10" s="16"/>
      <c r="Y10" s="16"/>
      <c r="Z10" s="16"/>
      <c r="AA10" s="16"/>
      <c r="AB10" s="16"/>
      <c r="AC10" s="16"/>
      <c r="AD10" s="16"/>
      <c r="AE10" s="16"/>
      <c r="AF10" s="16"/>
    </row>
    <row r="11" spans="1:32" ht="20.25" customHeight="1" thickBot="1" x14ac:dyDescent="0.3">
      <c r="A11" s="191" t="s">
        <v>7</v>
      </c>
      <c r="B11" s="192"/>
      <c r="C11" s="226">
        <f>Verzamelstaat!C11</f>
        <v>0</v>
      </c>
      <c r="D11" s="227"/>
      <c r="E11" s="227"/>
      <c r="F11" s="228"/>
      <c r="G11" s="91"/>
      <c r="H11" s="13"/>
      <c r="I11" s="148"/>
      <c r="J11" s="148"/>
      <c r="K11" s="148"/>
      <c r="L11" s="148"/>
      <c r="M11" s="148"/>
      <c r="N11" s="15"/>
      <c r="O11" s="15"/>
      <c r="P11" s="148"/>
      <c r="Q11" s="148"/>
      <c r="R11" s="148"/>
      <c r="S11" s="16"/>
      <c r="T11" s="16"/>
      <c r="U11" s="16"/>
      <c r="V11" s="16"/>
      <c r="W11" s="16"/>
      <c r="X11" s="16"/>
      <c r="Y11" s="16"/>
      <c r="Z11" s="16"/>
      <c r="AA11" s="16"/>
      <c r="AB11" s="16"/>
      <c r="AC11" s="16"/>
      <c r="AD11" s="16"/>
      <c r="AE11" s="16"/>
      <c r="AF11" s="16"/>
    </row>
    <row r="12" spans="1:32" ht="60.75" customHeight="1" thickTop="1" thickBot="1" x14ac:dyDescent="0.3">
      <c r="A12" s="210" t="s">
        <v>265</v>
      </c>
      <c r="B12" s="210"/>
      <c r="C12" s="210" t="str">
        <f>CONCATENATE(IF(Verzamelstaat!H12=1,"Tussenevaluatie",IF(Verzamelstaat!H12=2,"Begeleide Stage","Zelfstandige Stage")),IF(G12=1,", voltijd",", deeltijd"))</f>
        <v>Tussenevaluatie, voltijd</v>
      </c>
      <c r="D12" s="210"/>
      <c r="E12" s="210"/>
      <c r="F12" s="211"/>
      <c r="G12" s="13">
        <v>1</v>
      </c>
      <c r="H12" s="13"/>
      <c r="I12" s="148"/>
      <c r="J12" s="148"/>
      <c r="K12" s="148"/>
      <c r="L12" s="148"/>
      <c r="M12" s="148"/>
      <c r="N12" s="15"/>
      <c r="O12" s="15"/>
      <c r="P12" s="148"/>
      <c r="Q12" s="148"/>
      <c r="R12" s="148"/>
      <c r="S12" s="16"/>
      <c r="T12" s="16"/>
      <c r="U12" s="16"/>
      <c r="V12" s="16"/>
      <c r="W12" s="16"/>
      <c r="X12" s="16"/>
      <c r="Y12" s="16"/>
      <c r="Z12" s="16"/>
      <c r="AA12" s="16"/>
      <c r="AB12" s="16"/>
      <c r="AC12" s="16"/>
      <c r="AD12" s="16"/>
      <c r="AE12" s="16"/>
      <c r="AF12" s="16"/>
    </row>
    <row r="13" spans="1:32" ht="26.25" thickTop="1" x14ac:dyDescent="0.35">
      <c r="A13" s="212" t="s">
        <v>267</v>
      </c>
      <c r="B13" s="224"/>
      <c r="C13" s="224"/>
      <c r="D13" s="224"/>
      <c r="E13" s="224"/>
      <c r="F13" s="225"/>
      <c r="G13" s="91"/>
      <c r="H13" s="70"/>
      <c r="I13" s="71"/>
      <c r="J13" s="71"/>
      <c r="K13" s="71"/>
      <c r="L13" s="71"/>
      <c r="M13" s="71"/>
      <c r="N13" s="72"/>
      <c r="O13" s="72"/>
      <c r="P13" s="71"/>
      <c r="Q13" s="71"/>
      <c r="R13" s="71"/>
      <c r="S13" s="73"/>
      <c r="T13" s="73"/>
      <c r="U13" s="73"/>
      <c r="V13" s="73"/>
      <c r="W13" s="73"/>
      <c r="X13" s="73"/>
      <c r="Y13" s="73"/>
      <c r="Z13" s="73"/>
      <c r="AA13" s="73"/>
      <c r="AB13" s="73"/>
      <c r="AC13" s="73"/>
      <c r="AD13" s="73"/>
      <c r="AE13" s="73"/>
      <c r="AF13" s="73"/>
    </row>
    <row r="14" spans="1:32" ht="20.25" customHeight="1" x14ac:dyDescent="0.25">
      <c r="A14" s="191" t="s">
        <v>256</v>
      </c>
      <c r="B14" s="192"/>
      <c r="C14" s="193" t="s">
        <v>279</v>
      </c>
      <c r="D14" s="234"/>
      <c r="E14" s="234"/>
      <c r="F14" s="235"/>
      <c r="G14" s="91"/>
      <c r="H14" s="13" t="b">
        <f>0&lt;LEN(C14)</f>
        <v>1</v>
      </c>
      <c r="I14" s="149"/>
      <c r="J14" s="149"/>
      <c r="K14" s="149"/>
      <c r="L14" s="149"/>
      <c r="M14" s="149"/>
      <c r="N14" s="15"/>
      <c r="O14" s="15"/>
      <c r="P14" s="149"/>
      <c r="Q14" s="149"/>
      <c r="R14" s="149"/>
      <c r="S14" s="16"/>
      <c r="T14" s="16"/>
      <c r="U14" s="16"/>
      <c r="V14" s="16"/>
      <c r="W14" s="16"/>
      <c r="X14" s="16"/>
      <c r="Y14" s="16"/>
      <c r="Z14" s="16"/>
      <c r="AA14" s="16"/>
      <c r="AB14" s="16"/>
      <c r="AC14" s="16"/>
      <c r="AD14" s="16"/>
      <c r="AE14" s="16"/>
      <c r="AF14" s="16"/>
    </row>
    <row r="15" spans="1:32" ht="20.25" customHeight="1" x14ac:dyDescent="0.25">
      <c r="A15" s="191" t="s">
        <v>281</v>
      </c>
      <c r="B15" s="192"/>
      <c r="C15" s="193" t="s">
        <v>279</v>
      </c>
      <c r="D15" s="234"/>
      <c r="E15" s="234"/>
      <c r="F15" s="235"/>
      <c r="G15" s="91"/>
      <c r="H15" s="13" t="b">
        <f>0&lt;LEN(C15)</f>
        <v>1</v>
      </c>
      <c r="I15" s="149"/>
      <c r="J15" s="149"/>
      <c r="K15" s="149"/>
      <c r="L15" s="149"/>
      <c r="M15" s="149"/>
      <c r="N15" s="15"/>
      <c r="O15" s="15"/>
      <c r="P15" s="149"/>
      <c r="Q15" s="149"/>
      <c r="R15" s="149"/>
      <c r="S15" s="16"/>
      <c r="T15" s="16"/>
      <c r="U15" s="16"/>
      <c r="V15" s="16"/>
      <c r="W15" s="16"/>
      <c r="X15" s="16"/>
      <c r="Y15" s="16"/>
      <c r="Z15" s="16"/>
      <c r="AA15" s="16"/>
      <c r="AB15" s="16"/>
      <c r="AC15" s="16"/>
      <c r="AD15" s="16"/>
      <c r="AE15" s="16"/>
      <c r="AF15" s="16"/>
    </row>
    <row r="16" spans="1:32" ht="20.25" customHeight="1" x14ac:dyDescent="0.25">
      <c r="A16" s="191" t="str">
        <f>CONCATENATE("Aantal weken verlengde stage (",H12*6,"-",H12*6*4,")")</f>
        <v>Aantal weken verlengde stage (0-0)</v>
      </c>
      <c r="B16" s="192"/>
      <c r="C16" s="238">
        <f>MROUND(G16 * IF(G12=2,1,0.5),1)</f>
        <v>6</v>
      </c>
      <c r="D16" s="238"/>
      <c r="E16" s="238"/>
      <c r="F16" s="239"/>
      <c r="G16" s="13">
        <v>12</v>
      </c>
      <c r="H16" s="13" t="b">
        <v>1</v>
      </c>
      <c r="I16" s="149"/>
      <c r="J16" s="149"/>
      <c r="K16" s="149"/>
      <c r="L16" s="149"/>
      <c r="M16" s="149"/>
      <c r="N16" s="15"/>
      <c r="O16" s="15"/>
      <c r="P16" s="149"/>
      <c r="Q16" s="149"/>
      <c r="R16" s="149"/>
      <c r="S16" s="16"/>
      <c r="T16" s="16"/>
      <c r="U16" s="16"/>
      <c r="V16" s="16"/>
      <c r="W16" s="16"/>
      <c r="X16" s="16"/>
      <c r="Y16" s="16"/>
      <c r="Z16" s="16"/>
      <c r="AA16" s="16"/>
      <c r="AB16" s="16"/>
      <c r="AC16" s="16"/>
      <c r="AD16" s="16"/>
      <c r="AE16" s="16"/>
      <c r="AF16" s="16"/>
    </row>
    <row r="17" spans="1:32" ht="20.25" customHeight="1" x14ac:dyDescent="0.25">
      <c r="A17" s="191" t="s">
        <v>275</v>
      </c>
      <c r="B17" s="192"/>
      <c r="C17" s="240">
        <f>C10+7*C16</f>
        <v>42</v>
      </c>
      <c r="D17" s="240"/>
      <c r="E17" s="240"/>
      <c r="F17" s="241"/>
      <c r="G17" s="91"/>
      <c r="H17" s="152" t="b">
        <v>1</v>
      </c>
      <c r="I17" s="149"/>
      <c r="J17" s="149"/>
      <c r="K17" s="149"/>
      <c r="L17" s="149"/>
      <c r="M17" s="149"/>
      <c r="N17" s="15"/>
      <c r="O17" s="15"/>
      <c r="P17" s="149"/>
      <c r="Q17" s="149"/>
      <c r="R17" s="149"/>
      <c r="S17" s="16"/>
      <c r="T17" s="16"/>
      <c r="U17" s="16"/>
      <c r="V17" s="16"/>
      <c r="W17" s="16"/>
      <c r="X17" s="16"/>
      <c r="Y17" s="16"/>
      <c r="Z17" s="16"/>
      <c r="AA17" s="16"/>
      <c r="AB17" s="16"/>
      <c r="AC17" s="16"/>
      <c r="AD17" s="16"/>
      <c r="AE17" s="16"/>
      <c r="AF17" s="16"/>
    </row>
    <row r="18" spans="1:32" ht="19.5" customHeight="1" x14ac:dyDescent="0.25">
      <c r="A18" s="191" t="s">
        <v>268</v>
      </c>
      <c r="B18" s="192"/>
      <c r="C18" s="236" t="s">
        <v>279</v>
      </c>
      <c r="D18" s="236"/>
      <c r="E18" s="236"/>
      <c r="F18" s="237"/>
      <c r="G18" s="91"/>
      <c r="H18" s="13" t="b">
        <f>0&lt;LEN(C18)</f>
        <v>1</v>
      </c>
      <c r="I18" s="149"/>
      <c r="J18" s="149"/>
      <c r="K18" s="149"/>
      <c r="L18" s="149"/>
      <c r="M18" s="149"/>
      <c r="N18" s="15"/>
      <c r="O18" s="15"/>
      <c r="P18" s="149"/>
      <c r="Q18" s="149"/>
      <c r="R18" s="149"/>
      <c r="S18" s="16"/>
      <c r="T18" s="16"/>
      <c r="U18" s="16"/>
      <c r="V18" s="16"/>
      <c r="W18" s="16"/>
      <c r="X18" s="16"/>
      <c r="Y18" s="16"/>
      <c r="Z18" s="16"/>
      <c r="AA18" s="16"/>
      <c r="AB18" s="16"/>
      <c r="AC18" s="16"/>
      <c r="AD18" s="16"/>
      <c r="AE18" s="16"/>
      <c r="AF18" s="16"/>
    </row>
    <row r="19" spans="1:32" ht="19.5" customHeight="1" x14ac:dyDescent="0.25">
      <c r="A19" s="191" t="s">
        <v>236</v>
      </c>
      <c r="B19" s="192"/>
      <c r="C19" s="193" t="s">
        <v>279</v>
      </c>
      <c r="D19" s="234"/>
      <c r="E19" s="234"/>
      <c r="F19" s="235"/>
      <c r="G19" s="91"/>
      <c r="H19" s="13" t="b">
        <f>0&lt;LEN(C19)</f>
        <v>1</v>
      </c>
      <c r="I19" s="149"/>
      <c r="J19" s="149"/>
      <c r="K19" s="149"/>
      <c r="L19" s="149"/>
      <c r="M19" s="149"/>
      <c r="N19" s="15"/>
      <c r="O19" s="15"/>
      <c r="P19" s="149"/>
      <c r="Q19" s="149"/>
      <c r="R19" s="149"/>
      <c r="S19" s="16"/>
      <c r="T19" s="16"/>
      <c r="U19" s="16"/>
      <c r="V19" s="16"/>
      <c r="W19" s="16"/>
      <c r="X19" s="16"/>
      <c r="Y19" s="16"/>
      <c r="Z19" s="16"/>
      <c r="AA19" s="16"/>
      <c r="AB19" s="16"/>
      <c r="AC19" s="16"/>
      <c r="AD19" s="16"/>
      <c r="AE19" s="16"/>
      <c r="AF19" s="16"/>
    </row>
    <row r="20" spans="1:32" ht="18" customHeight="1" x14ac:dyDescent="0.25">
      <c r="A20" s="191" t="s">
        <v>276</v>
      </c>
      <c r="B20" s="192"/>
      <c r="C20" s="193" t="s">
        <v>279</v>
      </c>
      <c r="D20" s="234"/>
      <c r="E20" s="234"/>
      <c r="F20" s="235"/>
      <c r="G20" s="91"/>
      <c r="H20" s="13" t="b">
        <f>0&lt;LEN(C20)</f>
        <v>1</v>
      </c>
      <c r="I20" s="149"/>
      <c r="J20" s="149"/>
      <c r="K20" s="149"/>
      <c r="L20" s="149"/>
      <c r="M20" s="149"/>
      <c r="N20" s="15"/>
      <c r="O20" s="15"/>
      <c r="P20" s="149"/>
      <c r="Q20" s="149"/>
      <c r="R20" s="149"/>
      <c r="S20" s="16"/>
      <c r="T20" s="16"/>
      <c r="U20" s="16"/>
      <c r="V20" s="16"/>
      <c r="W20" s="16"/>
      <c r="X20" s="16"/>
      <c r="Y20" s="16"/>
      <c r="Z20" s="16"/>
      <c r="AA20" s="16"/>
      <c r="AB20" s="16"/>
      <c r="AC20" s="16"/>
      <c r="AD20" s="16"/>
      <c r="AE20" s="16"/>
      <c r="AF20" s="16"/>
    </row>
    <row r="21" spans="1:32" ht="20.25" customHeight="1" thickBot="1" x14ac:dyDescent="0.3">
      <c r="A21" s="191" t="s">
        <v>7</v>
      </c>
      <c r="B21" s="192"/>
      <c r="C21" s="193" t="s">
        <v>279</v>
      </c>
      <c r="D21" s="234"/>
      <c r="E21" s="234"/>
      <c r="F21" s="235"/>
      <c r="G21" s="91"/>
      <c r="H21" s="13" t="b">
        <f>0&lt;LEN(C21)</f>
        <v>1</v>
      </c>
      <c r="I21" s="149"/>
      <c r="J21" s="149"/>
      <c r="K21" s="149"/>
      <c r="L21" s="149"/>
      <c r="M21" s="149"/>
      <c r="N21" s="15"/>
      <c r="O21" s="15"/>
      <c r="P21" s="149"/>
      <c r="Q21" s="149"/>
      <c r="R21" s="149"/>
      <c r="S21" s="16"/>
      <c r="T21" s="16"/>
      <c r="U21" s="16"/>
      <c r="V21" s="16"/>
      <c r="W21" s="16"/>
      <c r="X21" s="16"/>
      <c r="Y21" s="16"/>
      <c r="Z21" s="16"/>
      <c r="AA21" s="16"/>
      <c r="AB21" s="16"/>
      <c r="AC21" s="16"/>
      <c r="AD21" s="16"/>
      <c r="AE21" s="16"/>
      <c r="AF21" s="16"/>
    </row>
    <row r="22" spans="1:32" ht="27" thickTop="1" thickBot="1" x14ac:dyDescent="0.4">
      <c r="A22" s="212" t="s">
        <v>266</v>
      </c>
      <c r="B22" s="224"/>
      <c r="C22" s="224"/>
      <c r="D22" s="224"/>
      <c r="E22" s="224"/>
      <c r="F22" s="225"/>
      <c r="G22" s="91"/>
      <c r="H22" s="13" t="b">
        <v>1</v>
      </c>
      <c r="I22" s="71"/>
      <c r="J22" s="71"/>
      <c r="K22" s="71"/>
      <c r="L22" s="71"/>
      <c r="M22" s="71"/>
      <c r="N22" s="72"/>
      <c r="O22" s="72"/>
      <c r="P22" s="71"/>
      <c r="Q22" s="71"/>
      <c r="R22" s="71"/>
      <c r="S22" s="73"/>
      <c r="T22" s="73"/>
      <c r="U22" s="73"/>
      <c r="V22" s="73"/>
      <c r="W22" s="73"/>
      <c r="X22" s="73"/>
      <c r="Y22" s="73"/>
      <c r="Z22" s="73"/>
      <c r="AA22" s="73"/>
      <c r="AB22" s="73"/>
      <c r="AC22" s="73"/>
      <c r="AD22" s="73"/>
      <c r="AE22" s="73"/>
      <c r="AF22" s="73"/>
    </row>
    <row r="23" spans="1:32" ht="21" customHeight="1" thickTop="1" thickBot="1" x14ac:dyDescent="0.3">
      <c r="A23" s="20"/>
      <c r="B23" s="169" t="s">
        <v>269</v>
      </c>
      <c r="C23" s="170"/>
      <c r="D23" s="170"/>
      <c r="E23" s="170"/>
      <c r="F23" s="21"/>
      <c r="G23" s="91"/>
      <c r="H23" s="13" t="b">
        <v>0</v>
      </c>
      <c r="I23" s="151"/>
      <c r="J23" s="151"/>
      <c r="K23" s="151"/>
      <c r="L23" s="151"/>
      <c r="M23" s="151"/>
      <c r="N23" s="15"/>
      <c r="O23" s="15"/>
      <c r="P23" s="151"/>
      <c r="Q23" s="151"/>
      <c r="R23" s="151"/>
      <c r="S23" s="16"/>
      <c r="T23" s="16"/>
      <c r="U23" s="16"/>
      <c r="V23" s="16"/>
      <c r="W23" s="16"/>
      <c r="X23" s="16"/>
      <c r="Y23" s="16"/>
      <c r="Z23" s="16"/>
      <c r="AA23" s="16"/>
      <c r="AB23" s="16"/>
      <c r="AC23" s="16"/>
      <c r="AD23" s="16"/>
      <c r="AE23" s="16"/>
      <c r="AF23" s="16"/>
    </row>
    <row r="24" spans="1:32" ht="21" customHeight="1" thickTop="1" thickBot="1" x14ac:dyDescent="0.3">
      <c r="A24" s="20"/>
      <c r="B24" s="169" t="s">
        <v>270</v>
      </c>
      <c r="C24" s="170"/>
      <c r="D24" s="170"/>
      <c r="E24" s="170"/>
      <c r="F24" s="21"/>
      <c r="G24" s="91"/>
      <c r="H24" s="13" t="b">
        <v>0</v>
      </c>
      <c r="I24" s="151"/>
      <c r="J24" s="151"/>
      <c r="K24" s="151"/>
      <c r="L24" s="151"/>
      <c r="M24" s="151"/>
      <c r="N24" s="15"/>
      <c r="O24" s="15"/>
      <c r="P24" s="151"/>
      <c r="Q24" s="151"/>
      <c r="R24" s="151"/>
      <c r="S24" s="16"/>
      <c r="T24" s="16"/>
      <c r="U24" s="16"/>
      <c r="V24" s="16"/>
      <c r="W24" s="16"/>
      <c r="X24" s="16"/>
      <c r="Y24" s="16"/>
      <c r="Z24" s="16"/>
      <c r="AA24" s="16"/>
      <c r="AB24" s="16"/>
      <c r="AC24" s="16"/>
      <c r="AD24" s="16"/>
      <c r="AE24" s="16"/>
      <c r="AF24" s="16"/>
    </row>
    <row r="25" spans="1:32" ht="21" customHeight="1" thickTop="1" thickBot="1" x14ac:dyDescent="0.3">
      <c r="A25" s="20"/>
      <c r="B25" s="169" t="s">
        <v>271</v>
      </c>
      <c r="C25" s="170"/>
      <c r="D25" s="170"/>
      <c r="E25" s="170"/>
      <c r="F25" s="21"/>
      <c r="G25" s="91"/>
      <c r="H25" s="13" t="b">
        <v>0</v>
      </c>
      <c r="I25" s="151"/>
      <c r="J25" s="151"/>
      <c r="K25" s="151"/>
      <c r="L25" s="151"/>
      <c r="M25" s="151"/>
      <c r="N25" s="15"/>
      <c r="O25" s="15"/>
      <c r="P25" s="151"/>
      <c r="Q25" s="151"/>
      <c r="R25" s="151"/>
      <c r="S25" s="16"/>
      <c r="T25" s="16"/>
      <c r="U25" s="16"/>
      <c r="V25" s="16"/>
      <c r="W25" s="16"/>
      <c r="X25" s="16"/>
      <c r="Y25" s="16"/>
      <c r="Z25" s="16"/>
      <c r="AA25" s="16"/>
      <c r="AB25" s="16"/>
      <c r="AC25" s="16"/>
      <c r="AD25" s="16"/>
      <c r="AE25" s="16"/>
      <c r="AF25" s="16"/>
    </row>
    <row r="26" spans="1:32" ht="21" customHeight="1" thickTop="1" thickBot="1" x14ac:dyDescent="0.3">
      <c r="A26" s="20"/>
      <c r="B26" s="169" t="s">
        <v>272</v>
      </c>
      <c r="C26" s="170"/>
      <c r="D26" s="170"/>
      <c r="E26" s="170"/>
      <c r="F26" s="21"/>
      <c r="G26" s="91"/>
      <c r="H26" s="13" t="b">
        <v>0</v>
      </c>
      <c r="I26" s="151"/>
      <c r="J26" s="151"/>
      <c r="K26" s="151"/>
      <c r="L26" s="151"/>
      <c r="M26" s="151"/>
      <c r="N26" s="15"/>
      <c r="O26" s="15"/>
      <c r="P26" s="151"/>
      <c r="Q26" s="151"/>
      <c r="R26" s="151"/>
      <c r="S26" s="16"/>
      <c r="T26" s="16"/>
      <c r="U26" s="16"/>
      <c r="V26" s="16"/>
      <c r="W26" s="16"/>
      <c r="X26" s="16"/>
      <c r="Y26" s="16"/>
      <c r="Z26" s="16"/>
      <c r="AA26" s="16"/>
      <c r="AB26" s="16"/>
      <c r="AC26" s="16"/>
      <c r="AD26" s="16"/>
      <c r="AE26" s="16"/>
      <c r="AF26" s="16"/>
    </row>
    <row r="27" spans="1:32" ht="21" customHeight="1" thickTop="1" thickBot="1" x14ac:dyDescent="0.3">
      <c r="A27" s="20"/>
      <c r="B27" s="169" t="s">
        <v>277</v>
      </c>
      <c r="C27" s="170"/>
      <c r="D27" s="170"/>
      <c r="E27" s="170"/>
      <c r="F27" s="21"/>
      <c r="G27" s="91"/>
      <c r="H27" s="13" t="b">
        <v>0</v>
      </c>
      <c r="I27" s="151"/>
      <c r="J27" s="151"/>
      <c r="K27" s="151"/>
      <c r="L27" s="151"/>
      <c r="M27" s="151"/>
      <c r="N27" s="15"/>
      <c r="O27" s="15"/>
      <c r="P27" s="151"/>
      <c r="Q27" s="151"/>
      <c r="R27" s="151"/>
      <c r="S27" s="16"/>
      <c r="T27" s="16"/>
      <c r="U27" s="16"/>
      <c r="V27" s="16"/>
      <c r="W27" s="16"/>
      <c r="X27" s="16"/>
      <c r="Y27" s="16"/>
      <c r="Z27" s="16"/>
      <c r="AA27" s="16"/>
      <c r="AB27" s="16"/>
      <c r="AC27" s="16"/>
      <c r="AD27" s="16"/>
      <c r="AE27" s="16"/>
      <c r="AF27" s="16"/>
    </row>
    <row r="28" spans="1:32" ht="27" thickTop="1" thickBot="1" x14ac:dyDescent="0.4">
      <c r="A28" s="212" t="s">
        <v>274</v>
      </c>
      <c r="B28" s="224"/>
      <c r="C28" s="224"/>
      <c r="D28" s="224"/>
      <c r="E28" s="224"/>
      <c r="F28" s="225"/>
      <c r="G28" s="91"/>
      <c r="H28" s="70"/>
      <c r="I28" s="71"/>
      <c r="J28" s="71"/>
      <c r="K28" s="71"/>
      <c r="L28" s="71"/>
      <c r="M28" s="71"/>
      <c r="N28" s="72"/>
      <c r="O28" s="72"/>
      <c r="P28" s="71"/>
      <c r="Q28" s="71"/>
      <c r="R28" s="71"/>
      <c r="S28" s="73"/>
      <c r="T28" s="73"/>
      <c r="U28" s="73"/>
      <c r="V28" s="73"/>
      <c r="W28" s="73"/>
      <c r="X28" s="73"/>
      <c r="Y28" s="73"/>
      <c r="Z28" s="73"/>
      <c r="AA28" s="73"/>
      <c r="AB28" s="73"/>
      <c r="AC28" s="73"/>
      <c r="AD28" s="73"/>
      <c r="AE28" s="73"/>
      <c r="AF28" s="73"/>
    </row>
    <row r="29" spans="1:32" s="4" customFormat="1" ht="409.5" customHeight="1" thickTop="1" thickBot="1" x14ac:dyDescent="0.25">
      <c r="A29" s="80" t="s">
        <v>273</v>
      </c>
      <c r="B29" s="215"/>
      <c r="C29" s="201"/>
      <c r="D29" s="201"/>
      <c r="E29" s="201"/>
      <c r="F29" s="202"/>
      <c r="G29" s="94"/>
      <c r="H29" s="1"/>
      <c r="I29" s="150"/>
      <c r="J29" s="150"/>
      <c r="K29" s="150"/>
      <c r="L29" s="150"/>
      <c r="M29" s="150"/>
      <c r="N29" s="3"/>
      <c r="O29" s="3"/>
      <c r="P29" s="150"/>
      <c r="Q29" s="150"/>
      <c r="R29" s="150"/>
    </row>
    <row r="30" spans="1:32" ht="15.75" thickTop="1" x14ac:dyDescent="0.25"/>
    <row r="42" spans="8:8" x14ac:dyDescent="0.25">
      <c r="H42">
        <v>1</v>
      </c>
    </row>
  </sheetData>
  <sheetProtection algorithmName="SHA-512" hashValue="+jQ5G77f7vdNXiHWeTjDMLjHaf3Hwt3Bl0L4/CDowSwAALtZ/I9KmtHcM39uK/nV0kHtPvyKXpaxioX09G0YeA==" saltValue="yHvkWddzMnnYHXsxUHwCqA==" spinCount="100000" sheet="1" objects="1" scenarios="1"/>
  <mergeCells count="45">
    <mergeCell ref="A22:F22"/>
    <mergeCell ref="A18:B18"/>
    <mergeCell ref="C18:F18"/>
    <mergeCell ref="B4:E4"/>
    <mergeCell ref="A19:B19"/>
    <mergeCell ref="C19:F19"/>
    <mergeCell ref="A20:B20"/>
    <mergeCell ref="C20:F20"/>
    <mergeCell ref="A21:B21"/>
    <mergeCell ref="C21:F21"/>
    <mergeCell ref="A13:F13"/>
    <mergeCell ref="A16:B16"/>
    <mergeCell ref="C16:F16"/>
    <mergeCell ref="A17:B17"/>
    <mergeCell ref="C17:F17"/>
    <mergeCell ref="A14:B14"/>
    <mergeCell ref="C14:F14"/>
    <mergeCell ref="A15:B15"/>
    <mergeCell ref="C15:F15"/>
    <mergeCell ref="A8:B8"/>
    <mergeCell ref="C8:F8"/>
    <mergeCell ref="A9:B9"/>
    <mergeCell ref="C9:F9"/>
    <mergeCell ref="A12:B12"/>
    <mergeCell ref="C12:F12"/>
    <mergeCell ref="A1:F1"/>
    <mergeCell ref="A2:F2"/>
    <mergeCell ref="A5:B5"/>
    <mergeCell ref="C5:F5"/>
    <mergeCell ref="A6:B6"/>
    <mergeCell ref="C6:F6"/>
    <mergeCell ref="A3:F3"/>
    <mergeCell ref="A7:B7"/>
    <mergeCell ref="C7:F7"/>
    <mergeCell ref="A10:B10"/>
    <mergeCell ref="C10:F10"/>
    <mergeCell ref="A11:B11"/>
    <mergeCell ref="C11:F11"/>
    <mergeCell ref="B23:E23"/>
    <mergeCell ref="B24:E24"/>
    <mergeCell ref="B25:E25"/>
    <mergeCell ref="B26:E26"/>
    <mergeCell ref="B29:F29"/>
    <mergeCell ref="A28:F28"/>
    <mergeCell ref="B27:E27"/>
  </mergeCells>
  <conditionalFormatting sqref="B4">
    <cfRule type="expression" dxfId="41" priority="12">
      <formula>NOT(H4)</formula>
    </cfRule>
  </conditionalFormatting>
  <conditionalFormatting sqref="B23:E23">
    <cfRule type="expression" dxfId="40" priority="10" stopIfTrue="1">
      <formula>H23</formula>
    </cfRule>
  </conditionalFormatting>
  <conditionalFormatting sqref="B23:E23">
    <cfRule type="expression" dxfId="39" priority="9">
      <formula>NOT(H23)</formula>
    </cfRule>
  </conditionalFormatting>
  <conditionalFormatting sqref="B24:E24">
    <cfRule type="expression" dxfId="38" priority="8" stopIfTrue="1">
      <formula>H24</formula>
    </cfRule>
  </conditionalFormatting>
  <conditionalFormatting sqref="B24:E24">
    <cfRule type="expression" dxfId="37" priority="7">
      <formula>NOT(H24)</formula>
    </cfRule>
  </conditionalFormatting>
  <conditionalFormatting sqref="B25:E25">
    <cfRule type="expression" dxfId="36" priority="6" stopIfTrue="1">
      <formula>H25</formula>
    </cfRule>
  </conditionalFormatting>
  <conditionalFormatting sqref="B25:E25">
    <cfRule type="expression" dxfId="35" priority="5">
      <formula>NOT(H25)</formula>
    </cfRule>
  </conditionalFormatting>
  <conditionalFormatting sqref="B26:E26">
    <cfRule type="expression" dxfId="34" priority="4" stopIfTrue="1">
      <formula>H26</formula>
    </cfRule>
  </conditionalFormatting>
  <conditionalFormatting sqref="B26:E26">
    <cfRule type="expression" dxfId="33" priority="3">
      <formula>NOT(H26)</formula>
    </cfRule>
  </conditionalFormatting>
  <conditionalFormatting sqref="B27:E27">
    <cfRule type="expression" dxfId="32" priority="2" stopIfTrue="1">
      <formula>H27</formula>
    </cfRule>
  </conditionalFormatting>
  <conditionalFormatting sqref="B27:E27">
    <cfRule type="expression" dxfId="31" priority="1">
      <formula>NOT(H27)</formula>
    </cfRule>
  </conditionalFormatting>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12" shapeId="8206" r:id="rId4">
          <objectPr locked="0" defaultSize="0" autoPict="0" r:id="rId5">
            <anchor moveWithCells="1">
              <from>
                <xdr:col>1</xdr:col>
                <xdr:colOff>19050</xdr:colOff>
                <xdr:row>28</xdr:row>
                <xdr:rowOff>19050</xdr:rowOff>
              </from>
              <to>
                <xdr:col>5</xdr:col>
                <xdr:colOff>1809750</xdr:colOff>
                <xdr:row>29</xdr:row>
                <xdr:rowOff>133350</xdr:rowOff>
              </to>
            </anchor>
          </objectPr>
        </oleObject>
      </mc:Choice>
      <mc:Fallback>
        <oleObject progId="Word.Document.12" shapeId="8206" r:id="rId4"/>
      </mc:Fallback>
    </mc:AlternateContent>
  </oleObjects>
  <mc:AlternateContent xmlns:mc="http://schemas.openxmlformats.org/markup-compatibility/2006">
    <mc:Choice Requires="x14">
      <controls>
        <mc:AlternateContent xmlns:mc="http://schemas.openxmlformats.org/markup-compatibility/2006">
          <mc:Choice Requires="x14">
            <control shapeId="8198" r:id="rId6" name="Option Button 6">
              <controlPr locked="0" defaultSize="0" autoFill="0" autoLine="0" autoPict="0" altText="Begeleide Stage_x000a_">
                <anchor moveWithCells="1" sizeWithCells="1">
                  <from>
                    <xdr:col>1</xdr:col>
                    <xdr:colOff>1000125</xdr:colOff>
                    <xdr:row>11</xdr:row>
                    <xdr:rowOff>85725</xdr:rowOff>
                  </from>
                  <to>
                    <xdr:col>1</xdr:col>
                    <xdr:colOff>1819275</xdr:colOff>
                    <xdr:row>11</xdr:row>
                    <xdr:rowOff>371475</xdr:rowOff>
                  </to>
                </anchor>
              </controlPr>
            </control>
          </mc:Choice>
        </mc:AlternateContent>
        <mc:AlternateContent xmlns:mc="http://schemas.openxmlformats.org/markup-compatibility/2006">
          <mc:Choice Requires="x14">
            <control shapeId="8199" r:id="rId7" name="Option Button 7">
              <controlPr locked="0" defaultSize="0" autoFill="0" autoLine="0" autoPict="0" altText="Begeleide Stage_x000a_">
                <anchor moveWithCells="1" sizeWithCells="1">
                  <from>
                    <xdr:col>1</xdr:col>
                    <xdr:colOff>1000125</xdr:colOff>
                    <xdr:row>11</xdr:row>
                    <xdr:rowOff>276225</xdr:rowOff>
                  </from>
                  <to>
                    <xdr:col>1</xdr:col>
                    <xdr:colOff>1809750</xdr:colOff>
                    <xdr:row>11</xdr:row>
                    <xdr:rowOff>581025</xdr:rowOff>
                  </to>
                </anchor>
              </controlPr>
            </control>
          </mc:Choice>
        </mc:AlternateContent>
        <mc:AlternateContent xmlns:mc="http://schemas.openxmlformats.org/markup-compatibility/2006">
          <mc:Choice Requires="x14">
            <control shapeId="8200" r:id="rId8" name="Scroll Bar 8">
              <controlPr defaultSize="0" autoPict="0">
                <anchor moveWithCells="1">
                  <from>
                    <xdr:col>2</xdr:col>
                    <xdr:colOff>428625</xdr:colOff>
                    <xdr:row>15</xdr:row>
                    <xdr:rowOff>19050</xdr:rowOff>
                  </from>
                  <to>
                    <xdr:col>5</xdr:col>
                    <xdr:colOff>1828800</xdr:colOff>
                    <xdr:row>16</xdr:row>
                    <xdr:rowOff>0</xdr:rowOff>
                  </to>
                </anchor>
              </controlPr>
            </control>
          </mc:Choice>
        </mc:AlternateContent>
        <mc:AlternateContent xmlns:mc="http://schemas.openxmlformats.org/markup-compatibility/2006">
          <mc:Choice Requires="x14">
            <control shapeId="8202" r:id="rId9" name="Check Box 10">
              <controlPr locked="0" defaultSize="0" autoFill="0" autoLine="0" autoPict="0">
                <anchor moveWithCells="1">
                  <from>
                    <xdr:col>0</xdr:col>
                    <xdr:colOff>419100</xdr:colOff>
                    <xdr:row>22</xdr:row>
                    <xdr:rowOff>66675</xdr:rowOff>
                  </from>
                  <to>
                    <xdr:col>0</xdr:col>
                    <xdr:colOff>619125</xdr:colOff>
                    <xdr:row>22</xdr:row>
                    <xdr:rowOff>219075</xdr:rowOff>
                  </to>
                </anchor>
              </controlPr>
            </control>
          </mc:Choice>
        </mc:AlternateContent>
        <mc:AlternateContent xmlns:mc="http://schemas.openxmlformats.org/markup-compatibility/2006">
          <mc:Choice Requires="x14">
            <control shapeId="8203" r:id="rId10" name="Check Box 11">
              <controlPr locked="0" defaultSize="0" autoFill="0" autoLine="0" autoPict="0">
                <anchor moveWithCells="1">
                  <from>
                    <xdr:col>0</xdr:col>
                    <xdr:colOff>419100</xdr:colOff>
                    <xdr:row>23</xdr:row>
                    <xdr:rowOff>66675</xdr:rowOff>
                  </from>
                  <to>
                    <xdr:col>0</xdr:col>
                    <xdr:colOff>619125</xdr:colOff>
                    <xdr:row>23</xdr:row>
                    <xdr:rowOff>219075</xdr:rowOff>
                  </to>
                </anchor>
              </controlPr>
            </control>
          </mc:Choice>
        </mc:AlternateContent>
        <mc:AlternateContent xmlns:mc="http://schemas.openxmlformats.org/markup-compatibility/2006">
          <mc:Choice Requires="x14">
            <control shapeId="8204" r:id="rId11" name="Check Box 12">
              <controlPr locked="0" defaultSize="0" autoFill="0" autoLine="0" autoPict="0">
                <anchor moveWithCells="1">
                  <from>
                    <xdr:col>0</xdr:col>
                    <xdr:colOff>419100</xdr:colOff>
                    <xdr:row>24</xdr:row>
                    <xdr:rowOff>66675</xdr:rowOff>
                  </from>
                  <to>
                    <xdr:col>0</xdr:col>
                    <xdr:colOff>619125</xdr:colOff>
                    <xdr:row>24</xdr:row>
                    <xdr:rowOff>219075</xdr:rowOff>
                  </to>
                </anchor>
              </controlPr>
            </control>
          </mc:Choice>
        </mc:AlternateContent>
        <mc:AlternateContent xmlns:mc="http://schemas.openxmlformats.org/markup-compatibility/2006">
          <mc:Choice Requires="x14">
            <control shapeId="8205" r:id="rId12" name="Check Box 13">
              <controlPr locked="0" defaultSize="0" autoFill="0" autoLine="0" autoPict="0">
                <anchor moveWithCells="1">
                  <from>
                    <xdr:col>0</xdr:col>
                    <xdr:colOff>419100</xdr:colOff>
                    <xdr:row>25</xdr:row>
                    <xdr:rowOff>66675</xdr:rowOff>
                  </from>
                  <to>
                    <xdr:col>0</xdr:col>
                    <xdr:colOff>619125</xdr:colOff>
                    <xdr:row>25</xdr:row>
                    <xdr:rowOff>219075</xdr:rowOff>
                  </to>
                </anchor>
              </controlPr>
            </control>
          </mc:Choice>
        </mc:AlternateContent>
        <mc:AlternateContent xmlns:mc="http://schemas.openxmlformats.org/markup-compatibility/2006">
          <mc:Choice Requires="x14">
            <control shapeId="8208" r:id="rId13" name="Check Box 16">
              <controlPr locked="0" defaultSize="0" autoFill="0" autoLine="0" autoPict="0">
                <anchor moveWithCells="1">
                  <from>
                    <xdr:col>0</xdr:col>
                    <xdr:colOff>419100</xdr:colOff>
                    <xdr:row>26</xdr:row>
                    <xdr:rowOff>66675</xdr:rowOff>
                  </from>
                  <to>
                    <xdr:col>0</xdr:col>
                    <xdr:colOff>619125</xdr:colOff>
                    <xdr:row>26</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stopIfTrue="1" id="{5A10C7E3-02E2-4283-A360-5B93CB3A2362}">
            <xm:f>OR((Verzamelstaat!F44&gt;5),Verzamelstaat!H13=1,H4)</xm:f>
            <x14:dxf>
              <font>
                <color theme="1"/>
              </font>
              <fill>
                <patternFill>
                  <bgColor rgb="FF00FF00"/>
                </patternFill>
              </fill>
            </x14:dxf>
          </x14:cfRule>
          <xm:sqref>B4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
  <sheetViews>
    <sheetView topLeftCell="A10" workbookViewId="0">
      <selection activeCell="F7" sqref="F7"/>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31" width="0" hidden="1" customWidth="1"/>
  </cols>
  <sheetData>
    <row r="1" spans="1:38" ht="16.5" thickBot="1" x14ac:dyDescent="0.3">
      <c r="A1" s="67"/>
      <c r="B1" s="68" t="str">
        <f>Verzamelstaat!C12</f>
        <v>Tussenevaluatie</v>
      </c>
      <c r="C1" s="68" t="str">
        <f>CONCATENATE("deelcijfer VD: ",Verzamelstaat!D39)</f>
        <v>deelcijfer VD: 0</v>
      </c>
      <c r="D1" s="68" t="str">
        <f>CONCATENATE("deelcijfer PD: ",Verzamelstaat!D40)</f>
        <v>deelcijfer PD: 0</v>
      </c>
      <c r="E1" s="68" t="str">
        <f>CONCATENATE("deelcijfer PR: ",Verzamelstaat!D41)</f>
        <v>deelcijfer PR: 0</v>
      </c>
      <c r="F1" s="69" t="str">
        <f>CONCATENATE("Eindcijfer: ",Verzamelstaat!F43)</f>
        <v>Eindcijfer: 0</v>
      </c>
      <c r="G1" s="90" t="b">
        <f>Verzamelstaat!D38</f>
        <v>0</v>
      </c>
      <c r="H1" s="133" t="b">
        <f>AND(G5:G14)</f>
        <v>0</v>
      </c>
      <c r="I1" s="136" t="b">
        <f>AND(G17:G25)</f>
        <v>0</v>
      </c>
      <c r="J1" s="136" t="b">
        <f>AND(G28:G34)</f>
        <v>0</v>
      </c>
      <c r="K1" s="136" t="b">
        <f>AND(Verzamelstaat!D38,Verzamelstaat!H32,Verzamelstaat!H33)</f>
        <v>0</v>
      </c>
      <c r="L1" s="136"/>
      <c r="M1" s="136"/>
      <c r="N1" s="15"/>
      <c r="O1" s="15"/>
      <c r="P1" s="136"/>
      <c r="Q1" s="136"/>
      <c r="R1" s="136"/>
      <c r="S1" s="16"/>
      <c r="T1" s="16"/>
      <c r="U1" s="16"/>
      <c r="V1" s="16"/>
      <c r="W1" s="16"/>
      <c r="X1" s="16"/>
      <c r="Y1" s="16"/>
      <c r="Z1" s="16"/>
      <c r="AA1" s="16"/>
      <c r="AB1" s="16"/>
      <c r="AC1" s="16"/>
      <c r="AD1" s="16"/>
      <c r="AE1" s="16"/>
    </row>
    <row r="2" spans="1:38" ht="49.5" thickTop="1" thickBot="1" x14ac:dyDescent="0.3">
      <c r="A2" s="5"/>
      <c r="B2" s="6" t="s">
        <v>10</v>
      </c>
      <c r="C2" s="6" t="s">
        <v>11</v>
      </c>
      <c r="D2" s="6" t="s">
        <v>12</v>
      </c>
      <c r="E2" s="6" t="s">
        <v>0</v>
      </c>
      <c r="F2" s="7" t="s">
        <v>1</v>
      </c>
      <c r="G2" s="91">
        <f>Verzamelstaat!H12</f>
        <v>1</v>
      </c>
      <c r="H2" s="8"/>
      <c r="I2" s="9" t="s">
        <v>10</v>
      </c>
      <c r="J2" s="9" t="s">
        <v>11</v>
      </c>
      <c r="K2" s="9" t="s">
        <v>12</v>
      </c>
      <c r="L2" s="9" t="s">
        <v>0</v>
      </c>
      <c r="M2" s="9" t="s">
        <v>1</v>
      </c>
      <c r="N2" s="10" t="s">
        <v>5</v>
      </c>
      <c r="O2" s="10" t="s">
        <v>173</v>
      </c>
      <c r="P2" s="11" t="s">
        <v>174</v>
      </c>
      <c r="Q2" s="11" t="s">
        <v>175</v>
      </c>
      <c r="R2" s="11" t="s">
        <v>176</v>
      </c>
      <c r="S2" s="11" t="s">
        <v>178</v>
      </c>
      <c r="T2" s="11" t="s">
        <v>3</v>
      </c>
      <c r="U2" s="11" t="s">
        <v>207</v>
      </c>
      <c r="V2" s="11" t="s">
        <v>208</v>
      </c>
      <c r="W2" s="11" t="s">
        <v>209</v>
      </c>
      <c r="X2" s="11" t="s">
        <v>210</v>
      </c>
      <c r="Y2" s="11" t="s">
        <v>211</v>
      </c>
      <c r="Z2" s="11" t="s">
        <v>212</v>
      </c>
      <c r="AA2" s="11" t="s">
        <v>213</v>
      </c>
      <c r="AB2" s="11" t="s">
        <v>214</v>
      </c>
      <c r="AC2" s="11" t="s">
        <v>215</v>
      </c>
      <c r="AD2" s="11" t="s">
        <v>182</v>
      </c>
      <c r="AE2" s="11" t="s">
        <v>184</v>
      </c>
    </row>
    <row r="3" spans="1:38" ht="29.25" thickTop="1" thickBot="1" x14ac:dyDescent="0.3">
      <c r="A3" s="185" t="s">
        <v>13</v>
      </c>
      <c r="B3" s="186"/>
      <c r="C3" s="186"/>
      <c r="D3" s="186"/>
      <c r="E3" s="186"/>
      <c r="F3" s="187"/>
      <c r="G3" s="92"/>
      <c r="H3" s="134" t="s">
        <v>3</v>
      </c>
      <c r="I3" s="135"/>
      <c r="J3" s="135"/>
      <c r="K3" s="135"/>
      <c r="L3" s="135"/>
      <c r="M3" s="135"/>
      <c r="N3" s="3"/>
      <c r="O3" s="3"/>
      <c r="P3" s="135"/>
      <c r="Q3" s="135"/>
      <c r="R3" s="135"/>
      <c r="S3" s="4"/>
      <c r="T3" s="4"/>
      <c r="U3" s="4"/>
      <c r="V3" s="4"/>
      <c r="W3" s="4"/>
      <c r="X3" s="4"/>
      <c r="Y3" s="4"/>
      <c r="Z3" s="4"/>
      <c r="AA3" s="4"/>
      <c r="AB3" s="4"/>
      <c r="AC3" s="4"/>
      <c r="AD3" s="4"/>
      <c r="AE3" s="4"/>
    </row>
    <row r="4" spans="1:38" ht="46.5" thickTop="1" thickBot="1" x14ac:dyDescent="0.3">
      <c r="A4" s="22"/>
      <c r="B4" s="23" t="s">
        <v>10</v>
      </c>
      <c r="C4" s="23" t="s">
        <v>11</v>
      </c>
      <c r="D4" s="23" t="s">
        <v>12</v>
      </c>
      <c r="E4" s="24" t="s">
        <v>0</v>
      </c>
      <c r="F4" s="25" t="s">
        <v>1</v>
      </c>
      <c r="G4" s="92"/>
      <c r="H4" s="26"/>
      <c r="I4" s="27" t="s">
        <v>10</v>
      </c>
      <c r="J4" s="27" t="s">
        <v>11</v>
      </c>
      <c r="K4" s="27" t="s">
        <v>12</v>
      </c>
      <c r="L4" s="27" t="s">
        <v>0</v>
      </c>
      <c r="M4" s="27" t="s">
        <v>1</v>
      </c>
      <c r="N4" s="28" t="s">
        <v>5</v>
      </c>
      <c r="O4" s="10" t="s">
        <v>177</v>
      </c>
      <c r="P4" s="29" t="s">
        <v>174</v>
      </c>
      <c r="Q4" s="29" t="s">
        <v>175</v>
      </c>
      <c r="R4" s="29" t="s">
        <v>70</v>
      </c>
      <c r="S4" s="27" t="s">
        <v>178</v>
      </c>
      <c r="T4" s="27" t="s">
        <v>3</v>
      </c>
      <c r="U4" s="27" t="s">
        <v>207</v>
      </c>
      <c r="V4" s="27" t="s">
        <v>208</v>
      </c>
      <c r="W4" s="27" t="s">
        <v>209</v>
      </c>
      <c r="X4" s="27" t="s">
        <v>183</v>
      </c>
      <c r="Y4" s="27" t="s">
        <v>211</v>
      </c>
      <c r="Z4" s="27" t="s">
        <v>206</v>
      </c>
      <c r="AA4" s="27" t="s">
        <v>213</v>
      </c>
      <c r="AB4" s="27" t="s">
        <v>214</v>
      </c>
      <c r="AC4" s="27" t="s">
        <v>215</v>
      </c>
      <c r="AD4" s="27" t="s">
        <v>182</v>
      </c>
      <c r="AE4" s="27" t="s">
        <v>184</v>
      </c>
    </row>
    <row r="5" spans="1:38" ht="45.75" thickBot="1" x14ac:dyDescent="0.3">
      <c r="A5" s="31" t="s">
        <v>14</v>
      </c>
      <c r="B5" s="32" t="s">
        <v>15</v>
      </c>
      <c r="C5" s="32" t="s">
        <v>16</v>
      </c>
      <c r="D5" s="32" t="s">
        <v>17</v>
      </c>
      <c r="E5" s="33" t="s">
        <v>18</v>
      </c>
      <c r="F5" s="34" t="s">
        <v>226</v>
      </c>
      <c r="G5" s="92" t="b">
        <f t="shared" ref="G5:G12" si="0">IF(H5&gt;0,TRUE,FALSE)</f>
        <v>0</v>
      </c>
      <c r="H5" s="1">
        <v>0</v>
      </c>
      <c r="I5" s="135">
        <f t="shared" ref="I5:I14" si="1">IF(H5=1,1,0)+IF(H5=2,0.5,0)</f>
        <v>0</v>
      </c>
      <c r="J5" s="135">
        <f t="shared" ref="J5:J14" si="2">IF(H5=3,1,0)+IF(OR(H5=2,H5=4),0.5,0)</f>
        <v>0</v>
      </c>
      <c r="K5" s="135">
        <f t="shared" ref="K5:K14" si="3">IF(H5=5,1,0)+IF(OR(H5=4,H5=6),0.5,0)</f>
        <v>0</v>
      </c>
      <c r="L5" s="135">
        <f t="shared" ref="L5:L14" si="4">IF(H5=7,1,0)+IF(OR(H5=6,H5=8),0.5,0)</f>
        <v>0</v>
      </c>
      <c r="M5" s="135">
        <f t="shared" ref="M5:M14" si="5">IF(H5=9,1,0)+IF(H5=8,0.5,0)</f>
        <v>0</v>
      </c>
      <c r="N5" s="135">
        <f t="shared" ref="N5:N15" si="6">SUM(I5:M5)</f>
        <v>0</v>
      </c>
      <c r="O5" s="135">
        <f>I5</f>
        <v>0</v>
      </c>
      <c r="P5" s="135">
        <f>IF(AND(H5&lt;3,H5&gt;0),1,0)</f>
        <v>0</v>
      </c>
      <c r="Q5" s="135">
        <f>IF(AND(H5&lt;5,H5&gt;0),1,0)</f>
        <v>0</v>
      </c>
      <c r="R5" s="135">
        <f>IF(AND(H5&lt;7,H5&gt;0),1,0)</f>
        <v>0</v>
      </c>
      <c r="S5" s="4">
        <f>IF(H5&gt;0,COUNTBLANK(F5),0)</f>
        <v>0</v>
      </c>
      <c r="T5" s="4"/>
      <c r="U5" s="4"/>
      <c r="V5" s="4"/>
      <c r="W5" s="4"/>
      <c r="X5" s="4"/>
      <c r="Y5" s="4"/>
      <c r="Z5" s="4"/>
      <c r="AA5" s="4"/>
      <c r="AB5" s="4"/>
      <c r="AC5" s="4"/>
      <c r="AD5" s="4"/>
      <c r="AE5" s="4"/>
    </row>
    <row r="6" spans="1:38" ht="45.75" thickBot="1" x14ac:dyDescent="0.3">
      <c r="A6" s="35" t="s">
        <v>19</v>
      </c>
      <c r="B6" s="32" t="s">
        <v>20</v>
      </c>
      <c r="C6" s="32" t="s">
        <v>21</v>
      </c>
      <c r="D6" s="32" t="s">
        <v>22</v>
      </c>
      <c r="E6" s="33" t="s">
        <v>23</v>
      </c>
      <c r="F6" s="34" t="s">
        <v>227</v>
      </c>
      <c r="G6" s="92" t="b">
        <f t="shared" si="0"/>
        <v>0</v>
      </c>
      <c r="H6" s="36">
        <v>0</v>
      </c>
      <c r="I6" s="135">
        <f t="shared" si="1"/>
        <v>0</v>
      </c>
      <c r="J6" s="135">
        <f t="shared" si="2"/>
        <v>0</v>
      </c>
      <c r="K6" s="135">
        <f t="shared" si="3"/>
        <v>0</v>
      </c>
      <c r="L6" s="135">
        <f t="shared" si="4"/>
        <v>0</v>
      </c>
      <c r="M6" s="135">
        <f t="shared" si="5"/>
        <v>0</v>
      </c>
      <c r="N6" s="135">
        <f t="shared" si="6"/>
        <v>0</v>
      </c>
      <c r="O6" s="135">
        <f>I6</f>
        <v>0</v>
      </c>
      <c r="P6" s="135">
        <f t="shared" ref="P6:P13" si="7">IF(AND(H6&lt;3,H6&gt;0),1,0)</f>
        <v>0</v>
      </c>
      <c r="Q6" s="135">
        <f t="shared" ref="Q6:Q13" si="8">IF(AND(H6&lt;5,H6&gt;0),1,0)</f>
        <v>0</v>
      </c>
      <c r="R6" s="135">
        <f>IF(AND(H6&lt;7,H6&gt;0),1,0)</f>
        <v>0</v>
      </c>
      <c r="S6" s="4">
        <f t="shared" ref="S6:S14" si="9">IF(H6&gt;0,COUNTBLANK(F6),0)</f>
        <v>0</v>
      </c>
      <c r="T6" s="4"/>
      <c r="U6" s="4"/>
      <c r="V6" s="4"/>
      <c r="W6" s="4"/>
      <c r="X6" s="4"/>
      <c r="Y6" s="4"/>
      <c r="Z6" s="4"/>
      <c r="AA6" s="4"/>
      <c r="AB6" s="4"/>
      <c r="AC6" s="4"/>
      <c r="AD6" s="4"/>
      <c r="AE6" s="4"/>
    </row>
    <row r="7" spans="1:38" ht="45.75" thickBot="1" x14ac:dyDescent="0.3">
      <c r="A7" s="35" t="s">
        <v>24</v>
      </c>
      <c r="B7" s="37" t="s">
        <v>25</v>
      </c>
      <c r="C7" s="37" t="s">
        <v>26</v>
      </c>
      <c r="D7" s="37" t="s">
        <v>27</v>
      </c>
      <c r="E7" s="38" t="s">
        <v>28</v>
      </c>
      <c r="F7" s="34" t="s">
        <v>29</v>
      </c>
      <c r="G7" s="92" t="b">
        <f t="shared" si="0"/>
        <v>0</v>
      </c>
      <c r="H7" s="1">
        <v>0</v>
      </c>
      <c r="I7" s="135">
        <f t="shared" si="1"/>
        <v>0</v>
      </c>
      <c r="J7" s="135">
        <f t="shared" si="2"/>
        <v>0</v>
      </c>
      <c r="K7" s="135">
        <f t="shared" si="3"/>
        <v>0</v>
      </c>
      <c r="L7" s="135">
        <f t="shared" si="4"/>
        <v>0</v>
      </c>
      <c r="M7" s="135">
        <f t="shared" si="5"/>
        <v>0</v>
      </c>
      <c r="N7" s="135">
        <f t="shared" si="6"/>
        <v>0</v>
      </c>
      <c r="O7" s="135"/>
      <c r="P7" s="135"/>
      <c r="Q7" s="135"/>
      <c r="R7" s="135"/>
      <c r="S7" s="4">
        <f t="shared" si="9"/>
        <v>0</v>
      </c>
      <c r="T7" s="4"/>
      <c r="U7" s="4"/>
      <c r="V7" s="4"/>
      <c r="W7" s="4"/>
      <c r="X7" s="4"/>
      <c r="Y7" s="4"/>
      <c r="Z7" s="4"/>
      <c r="AA7" s="4"/>
      <c r="AB7" s="4"/>
      <c r="AC7" s="4"/>
      <c r="AD7" s="4"/>
      <c r="AE7" s="4"/>
    </row>
    <row r="8" spans="1:38" ht="45.75" thickBot="1" x14ac:dyDescent="0.3">
      <c r="A8" s="35" t="s">
        <v>30</v>
      </c>
      <c r="B8" s="37" t="s">
        <v>31</v>
      </c>
      <c r="C8" s="37" t="s">
        <v>228</v>
      </c>
      <c r="D8" s="37" t="s">
        <v>32</v>
      </c>
      <c r="E8" s="38" t="s">
        <v>33</v>
      </c>
      <c r="F8" s="34" t="s">
        <v>34</v>
      </c>
      <c r="G8" s="92" t="b">
        <f t="shared" si="0"/>
        <v>0</v>
      </c>
      <c r="H8" s="1">
        <v>0</v>
      </c>
      <c r="I8" s="135">
        <f t="shared" si="1"/>
        <v>0</v>
      </c>
      <c r="J8" s="135">
        <f t="shared" si="2"/>
        <v>0</v>
      </c>
      <c r="K8" s="135">
        <f t="shared" si="3"/>
        <v>0</v>
      </c>
      <c r="L8" s="135">
        <f t="shared" si="4"/>
        <v>0</v>
      </c>
      <c r="M8" s="135">
        <f t="shared" si="5"/>
        <v>0</v>
      </c>
      <c r="N8" s="135">
        <f t="shared" si="6"/>
        <v>0</v>
      </c>
      <c r="O8" s="135"/>
      <c r="P8" s="135"/>
      <c r="Q8" s="135"/>
      <c r="R8" s="135"/>
      <c r="S8" s="4">
        <f t="shared" si="9"/>
        <v>0</v>
      </c>
      <c r="T8" s="4"/>
      <c r="U8" s="4"/>
      <c r="V8" s="4"/>
      <c r="W8" s="4"/>
      <c r="X8" s="4"/>
      <c r="Y8" s="4"/>
      <c r="Z8" s="4"/>
      <c r="AA8" s="4"/>
      <c r="AB8" s="4"/>
      <c r="AC8" s="4"/>
      <c r="AD8" s="4"/>
      <c r="AE8" s="4"/>
    </row>
    <row r="9" spans="1:38" ht="57" thickBot="1" x14ac:dyDescent="0.3">
      <c r="A9" s="35" t="s">
        <v>35</v>
      </c>
      <c r="B9" s="82" t="s">
        <v>36</v>
      </c>
      <c r="C9" s="37" t="s">
        <v>37</v>
      </c>
      <c r="D9" s="32" t="s">
        <v>38</v>
      </c>
      <c r="E9" s="33" t="s">
        <v>229</v>
      </c>
      <c r="F9" s="34" t="s">
        <v>230</v>
      </c>
      <c r="G9" s="92" t="b">
        <f t="shared" si="0"/>
        <v>0</v>
      </c>
      <c r="H9" s="1">
        <v>0</v>
      </c>
      <c r="I9" s="135">
        <f t="shared" si="1"/>
        <v>0</v>
      </c>
      <c r="J9" s="135">
        <f t="shared" si="2"/>
        <v>0</v>
      </c>
      <c r="K9" s="135">
        <f t="shared" si="3"/>
        <v>0</v>
      </c>
      <c r="L9" s="135">
        <f t="shared" si="4"/>
        <v>0</v>
      </c>
      <c r="M9" s="135">
        <f t="shared" si="5"/>
        <v>0</v>
      </c>
      <c r="N9" s="135">
        <f t="shared" si="6"/>
        <v>0</v>
      </c>
      <c r="O9" s="135"/>
      <c r="P9" s="135">
        <f t="shared" si="7"/>
        <v>0</v>
      </c>
      <c r="Q9" s="135">
        <f t="shared" si="8"/>
        <v>0</v>
      </c>
      <c r="R9" s="135">
        <f>IF(AND(H9&lt;7,H9&gt;0),1,0)</f>
        <v>0</v>
      </c>
      <c r="S9" s="4">
        <f t="shared" si="9"/>
        <v>0</v>
      </c>
      <c r="T9" s="4"/>
      <c r="U9" s="4"/>
      <c r="V9" s="4"/>
      <c r="W9" s="4"/>
      <c r="X9" s="4"/>
      <c r="Y9" s="4"/>
      <c r="Z9" s="4"/>
      <c r="AA9" s="4"/>
      <c r="AB9" s="4"/>
      <c r="AC9" s="4"/>
      <c r="AD9" s="4"/>
      <c r="AE9" s="4"/>
    </row>
    <row r="10" spans="1:38" ht="57" thickBot="1" x14ac:dyDescent="0.3">
      <c r="A10" s="39" t="s">
        <v>39</v>
      </c>
      <c r="B10" s="82" t="s">
        <v>40</v>
      </c>
      <c r="C10" s="37" t="s">
        <v>240</v>
      </c>
      <c r="D10" s="37" t="s">
        <v>241</v>
      </c>
      <c r="E10" s="38" t="s">
        <v>242</v>
      </c>
      <c r="F10" s="34" t="s">
        <v>243</v>
      </c>
      <c r="G10" s="92" t="b">
        <f t="shared" si="0"/>
        <v>0</v>
      </c>
      <c r="H10" s="36">
        <v>0</v>
      </c>
      <c r="I10" s="135">
        <f t="shared" si="1"/>
        <v>0</v>
      </c>
      <c r="J10" s="135">
        <f t="shared" si="2"/>
        <v>0</v>
      </c>
      <c r="K10" s="135">
        <f t="shared" si="3"/>
        <v>0</v>
      </c>
      <c r="L10" s="135">
        <f t="shared" si="4"/>
        <v>0</v>
      </c>
      <c r="M10" s="135">
        <f t="shared" si="5"/>
        <v>0</v>
      </c>
      <c r="N10" s="135">
        <f t="shared" si="6"/>
        <v>0</v>
      </c>
      <c r="O10" s="135"/>
      <c r="P10" s="135"/>
      <c r="Q10" s="135"/>
      <c r="R10" s="135"/>
      <c r="S10" s="4">
        <f t="shared" si="9"/>
        <v>0</v>
      </c>
      <c r="T10" s="4"/>
      <c r="U10" s="4"/>
      <c r="V10" s="4"/>
      <c r="W10" s="4"/>
      <c r="X10" s="4"/>
      <c r="Y10" s="4"/>
      <c r="Z10" s="4"/>
      <c r="AA10" s="4"/>
      <c r="AB10" s="4"/>
      <c r="AC10" s="4"/>
      <c r="AD10" s="4"/>
      <c r="AE10" s="4"/>
    </row>
    <row r="11" spans="1:38" ht="57" thickBot="1" x14ac:dyDescent="0.3">
      <c r="A11" s="39" t="s">
        <v>41</v>
      </c>
      <c r="B11" s="82" t="s">
        <v>238</v>
      </c>
      <c r="C11" s="37" t="s">
        <v>42</v>
      </c>
      <c r="D11" s="37" t="s">
        <v>43</v>
      </c>
      <c r="E11" s="38" t="s">
        <v>231</v>
      </c>
      <c r="F11" s="34" t="s">
        <v>44</v>
      </c>
      <c r="G11" s="92" t="b">
        <f t="shared" si="0"/>
        <v>0</v>
      </c>
      <c r="H11" s="1">
        <v>0</v>
      </c>
      <c r="I11" s="135">
        <f t="shared" si="1"/>
        <v>0</v>
      </c>
      <c r="J11" s="135">
        <f t="shared" si="2"/>
        <v>0</v>
      </c>
      <c r="K11" s="135">
        <f t="shared" si="3"/>
        <v>0</v>
      </c>
      <c r="L11" s="135">
        <f t="shared" si="4"/>
        <v>0</v>
      </c>
      <c r="M11" s="135">
        <f t="shared" si="5"/>
        <v>0</v>
      </c>
      <c r="N11" s="135">
        <f t="shared" si="6"/>
        <v>0</v>
      </c>
      <c r="O11" s="135"/>
      <c r="P11" s="135"/>
      <c r="Q11" s="135"/>
      <c r="R11" s="135"/>
      <c r="S11" s="4">
        <f t="shared" si="9"/>
        <v>0</v>
      </c>
      <c r="T11" s="4"/>
      <c r="U11" s="4"/>
      <c r="V11" s="4"/>
      <c r="W11" s="4"/>
      <c r="X11" s="4"/>
      <c r="Y11" s="4"/>
      <c r="Z11" s="4"/>
      <c r="AA11" s="4"/>
      <c r="AB11" s="4"/>
      <c r="AC11" s="4"/>
      <c r="AD11" s="4"/>
      <c r="AE11" s="4"/>
      <c r="AL11" t="s">
        <v>254</v>
      </c>
    </row>
    <row r="12" spans="1:38" ht="34.5" thickBot="1" x14ac:dyDescent="0.3">
      <c r="A12" s="35" t="s">
        <v>45</v>
      </c>
      <c r="B12" s="32" t="s">
        <v>46</v>
      </c>
      <c r="C12" s="32" t="s">
        <v>47</v>
      </c>
      <c r="D12" s="32" t="s">
        <v>48</v>
      </c>
      <c r="E12" s="33" t="s">
        <v>49</v>
      </c>
      <c r="F12" s="34" t="s">
        <v>50</v>
      </c>
      <c r="G12" s="92" t="b">
        <f t="shared" si="0"/>
        <v>0</v>
      </c>
      <c r="H12" s="1">
        <v>0</v>
      </c>
      <c r="I12" s="135">
        <f t="shared" si="1"/>
        <v>0</v>
      </c>
      <c r="J12" s="135">
        <f t="shared" si="2"/>
        <v>0</v>
      </c>
      <c r="K12" s="135">
        <f t="shared" si="3"/>
        <v>0</v>
      </c>
      <c r="L12" s="135">
        <f t="shared" si="4"/>
        <v>0</v>
      </c>
      <c r="M12" s="135">
        <f t="shared" si="5"/>
        <v>0</v>
      </c>
      <c r="N12" s="135">
        <f t="shared" si="6"/>
        <v>0</v>
      </c>
      <c r="O12" s="135">
        <f>I12</f>
        <v>0</v>
      </c>
      <c r="P12" s="135">
        <f t="shared" si="7"/>
        <v>0</v>
      </c>
      <c r="Q12" s="135">
        <f t="shared" si="8"/>
        <v>0</v>
      </c>
      <c r="R12" s="135">
        <f>IF(AND(H12&lt;7,H12&gt;0),1,0)</f>
        <v>0</v>
      </c>
      <c r="S12" s="4">
        <f t="shared" si="9"/>
        <v>0</v>
      </c>
      <c r="T12" s="4"/>
      <c r="U12" s="4"/>
      <c r="V12" s="4"/>
      <c r="W12" s="4"/>
      <c r="X12" s="4"/>
      <c r="Y12" s="4"/>
      <c r="Z12" s="4"/>
      <c r="AA12" s="4"/>
      <c r="AB12" s="4"/>
      <c r="AC12" s="4"/>
      <c r="AD12" s="4"/>
      <c r="AE12" s="4"/>
    </row>
    <row r="13" spans="1:38" ht="68.25" thickBot="1" x14ac:dyDescent="0.3">
      <c r="A13" s="39" t="s">
        <v>255</v>
      </c>
      <c r="B13" s="37" t="s">
        <v>52</v>
      </c>
      <c r="C13" s="32" t="s">
        <v>53</v>
      </c>
      <c r="D13" s="32" t="s">
        <v>252</v>
      </c>
      <c r="E13" s="33" t="s">
        <v>54</v>
      </c>
      <c r="F13" s="34"/>
      <c r="G13" s="92" t="b">
        <v>1</v>
      </c>
      <c r="H13" s="1">
        <v>0</v>
      </c>
      <c r="I13" s="135">
        <f t="shared" si="1"/>
        <v>0</v>
      </c>
      <c r="J13" s="135">
        <f t="shared" si="2"/>
        <v>0</v>
      </c>
      <c r="K13" s="135">
        <f t="shared" si="3"/>
        <v>0</v>
      </c>
      <c r="L13" s="135">
        <f t="shared" si="4"/>
        <v>0</v>
      </c>
      <c r="M13" s="135">
        <f t="shared" si="5"/>
        <v>0</v>
      </c>
      <c r="N13" s="135">
        <f t="shared" si="6"/>
        <v>0</v>
      </c>
      <c r="O13" s="135"/>
      <c r="P13" s="135">
        <f t="shared" si="7"/>
        <v>0</v>
      </c>
      <c r="Q13" s="135">
        <f t="shared" si="8"/>
        <v>0</v>
      </c>
      <c r="R13" s="135">
        <f>IF(AND(H13&lt;7,H13&gt;0),1,0)</f>
        <v>0</v>
      </c>
      <c r="S13" s="4">
        <f t="shared" si="9"/>
        <v>0</v>
      </c>
      <c r="T13" s="4"/>
      <c r="U13" s="4"/>
      <c r="V13" s="4"/>
      <c r="W13" s="4"/>
      <c r="X13" s="4"/>
      <c r="Y13" s="4"/>
      <c r="Z13" s="4"/>
      <c r="AA13" s="4"/>
      <c r="AB13" s="4"/>
      <c r="AC13" s="4"/>
      <c r="AD13" s="4"/>
      <c r="AE13" s="4"/>
    </row>
    <row r="14" spans="1:38" ht="57" thickBot="1" x14ac:dyDescent="0.3">
      <c r="A14" s="31" t="s">
        <v>55</v>
      </c>
      <c r="B14" s="37" t="s">
        <v>56</v>
      </c>
      <c r="C14" s="37" t="s">
        <v>57</v>
      </c>
      <c r="D14" s="37" t="s">
        <v>58</v>
      </c>
      <c r="E14" s="38" t="s">
        <v>59</v>
      </c>
      <c r="F14" s="34" t="s">
        <v>60</v>
      </c>
      <c r="G14" s="92" t="b">
        <f>IF(H14&gt;0,TRUE,FALSE)</f>
        <v>0</v>
      </c>
      <c r="H14" s="1">
        <v>0</v>
      </c>
      <c r="I14" s="135">
        <f t="shared" si="1"/>
        <v>0</v>
      </c>
      <c r="J14" s="135">
        <f t="shared" si="2"/>
        <v>0</v>
      </c>
      <c r="K14" s="135">
        <f t="shared" si="3"/>
        <v>0</v>
      </c>
      <c r="L14" s="135">
        <f t="shared" si="4"/>
        <v>0</v>
      </c>
      <c r="M14" s="135">
        <f t="shared" si="5"/>
        <v>0</v>
      </c>
      <c r="N14" s="135">
        <f t="shared" si="6"/>
        <v>0</v>
      </c>
      <c r="O14" s="135"/>
      <c r="P14" s="135"/>
      <c r="Q14" s="135"/>
      <c r="R14" s="135"/>
      <c r="S14" s="4">
        <f t="shared" si="9"/>
        <v>0</v>
      </c>
      <c r="T14" s="4"/>
      <c r="U14" s="4"/>
      <c r="V14" s="4"/>
      <c r="W14" s="4"/>
      <c r="X14" s="4"/>
      <c r="Y14" s="4"/>
      <c r="Z14" s="4"/>
      <c r="AA14" s="4">
        <f>-(($W15-0)/($V15-$U15)^2)*($T15-$V15)^2+$W15</f>
        <v>0</v>
      </c>
      <c r="AB14" s="4">
        <f>(($Y15-$W15)/($X15-$V15)^2)*($T15-$V15)^2+$W15</f>
        <v>7</v>
      </c>
      <c r="AC14" s="4" t="e">
        <f>-((9.75-$Y15)/($Z15-$X15)^2)*($T15-$Z15)^2+9.75</f>
        <v>#DIV/0!</v>
      </c>
      <c r="AD14" s="4"/>
      <c r="AE14" s="135"/>
    </row>
    <row r="15" spans="1:38" ht="24.75" thickTop="1" thickBot="1" x14ac:dyDescent="0.3">
      <c r="A15" s="171" t="s">
        <v>75</v>
      </c>
      <c r="B15" s="206"/>
      <c r="C15" s="206"/>
      <c r="D15" s="206"/>
      <c r="E15" s="206"/>
      <c r="F15" s="207"/>
      <c r="G15" s="92"/>
      <c r="H15" s="134">
        <f t="shared" ref="H15:M15" si="10">SUM(H5:H14)</f>
        <v>0</v>
      </c>
      <c r="I15" s="135">
        <f t="shared" si="10"/>
        <v>0</v>
      </c>
      <c r="J15" s="135">
        <f t="shared" si="10"/>
        <v>0</v>
      </c>
      <c r="K15" s="135">
        <f t="shared" si="10"/>
        <v>0</v>
      </c>
      <c r="L15" s="135">
        <f t="shared" si="10"/>
        <v>0</v>
      </c>
      <c r="M15" s="135">
        <f t="shared" si="10"/>
        <v>0</v>
      </c>
      <c r="N15" s="135">
        <f t="shared" si="6"/>
        <v>0</v>
      </c>
      <c r="O15" s="135">
        <f>SUM(O5:O14)</f>
        <v>0</v>
      </c>
      <c r="P15" s="135">
        <f>SUM(P5:P14)</f>
        <v>0</v>
      </c>
      <c r="Q15" s="135">
        <f>SUM(Q5:Q14)</f>
        <v>0</v>
      </c>
      <c r="R15" s="135">
        <f>SUM(R5:R14)</f>
        <v>0</v>
      </c>
      <c r="S15" s="135">
        <f>SUM(S5:S14)</f>
        <v>0</v>
      </c>
      <c r="T15" s="135">
        <f>H15</f>
        <v>0</v>
      </c>
      <c r="U15" s="135">
        <f>N15</f>
        <v>0</v>
      </c>
      <c r="V15" s="135">
        <f>X15-6</f>
        <v>-6</v>
      </c>
      <c r="W15" s="135">
        <v>5.75</v>
      </c>
      <c r="X15" s="135">
        <f>N15*(Verzamelstaat!$H$12*2+1)</f>
        <v>0</v>
      </c>
      <c r="Y15" s="135">
        <v>7</v>
      </c>
      <c r="Z15" s="135">
        <f>(N15-S15)*9+S15*7</f>
        <v>0</v>
      </c>
      <c r="AA15" s="135">
        <f>(W15/(V15-U15))*(T15 -U15)</f>
        <v>0</v>
      </c>
      <c r="AB15" s="135">
        <f>((Y15-W15)/(X15-V15))*(T15 -V15)+W15</f>
        <v>7</v>
      </c>
      <c r="AC15" s="135" t="e">
        <f>((9.75-Y15)/(Z15-X15))*(T15 -X15)+Y15</f>
        <v>#DIV/0!</v>
      </c>
      <c r="AD15" s="135">
        <f>IF(H15&lt;=V15,AA14,IF(H15&lt;=X15,AB15,AC14))</f>
        <v>7</v>
      </c>
      <c r="AE15" s="135">
        <f>ROUND(2*AD15,0)/2</f>
        <v>7</v>
      </c>
    </row>
    <row r="16" spans="1:38" ht="46.5" thickTop="1" thickBot="1" x14ac:dyDescent="0.3">
      <c r="A16" s="22"/>
      <c r="B16" s="23" t="s">
        <v>10</v>
      </c>
      <c r="C16" s="23" t="s">
        <v>11</v>
      </c>
      <c r="D16" s="23" t="s">
        <v>12</v>
      </c>
      <c r="E16" s="24" t="s">
        <v>0</v>
      </c>
      <c r="F16" s="25" t="s">
        <v>1</v>
      </c>
      <c r="G16" s="92"/>
      <c r="H16" s="26"/>
      <c r="I16" s="27" t="s">
        <v>10</v>
      </c>
      <c r="J16" s="27" t="s">
        <v>11</v>
      </c>
      <c r="K16" s="27" t="s">
        <v>12</v>
      </c>
      <c r="L16" s="27" t="s">
        <v>0</v>
      </c>
      <c r="M16" s="27" t="s">
        <v>1</v>
      </c>
      <c r="N16" s="28" t="s">
        <v>5</v>
      </c>
      <c r="O16" s="10" t="s">
        <v>173</v>
      </c>
      <c r="P16" s="11" t="s">
        <v>174</v>
      </c>
      <c r="Q16" s="11" t="s">
        <v>175</v>
      </c>
      <c r="R16" s="11" t="s">
        <v>176</v>
      </c>
      <c r="S16" s="29" t="s">
        <v>178</v>
      </c>
      <c r="T16" s="29" t="s">
        <v>3</v>
      </c>
      <c r="U16" s="11" t="s">
        <v>207</v>
      </c>
      <c r="V16" s="11" t="s">
        <v>208</v>
      </c>
      <c r="W16" s="11" t="s">
        <v>209</v>
      </c>
      <c r="X16" s="11" t="s">
        <v>210</v>
      </c>
      <c r="Y16" s="11" t="s">
        <v>211</v>
      </c>
      <c r="Z16" s="11" t="s">
        <v>212</v>
      </c>
      <c r="AA16" s="11" t="s">
        <v>213</v>
      </c>
      <c r="AB16" s="11" t="s">
        <v>214</v>
      </c>
      <c r="AC16" s="11" t="s">
        <v>215</v>
      </c>
      <c r="AD16" s="11" t="s">
        <v>182</v>
      </c>
      <c r="AE16" s="11" t="s">
        <v>184</v>
      </c>
    </row>
    <row r="17" spans="1:31" ht="68.25" thickBot="1" x14ac:dyDescent="0.3">
      <c r="A17" s="31" t="s">
        <v>76</v>
      </c>
      <c r="B17" s="32" t="s">
        <v>77</v>
      </c>
      <c r="C17" s="32" t="s">
        <v>78</v>
      </c>
      <c r="D17" s="32" t="s">
        <v>94</v>
      </c>
      <c r="E17" s="33" t="s">
        <v>232</v>
      </c>
      <c r="F17" s="34" t="s">
        <v>233</v>
      </c>
      <c r="G17" s="92" t="b">
        <f t="shared" ref="G17:G25" si="11">IF(H17&gt;0,TRUE,FALSE)</f>
        <v>0</v>
      </c>
      <c r="H17" s="1">
        <v>0</v>
      </c>
      <c r="I17" s="3">
        <f t="shared" ref="I17:I25" si="12">IF(H17=1,1,0)+IF(H17=2,0.5,0)</f>
        <v>0</v>
      </c>
      <c r="J17" s="3">
        <f t="shared" ref="J17:J25" si="13">IF(H17=3,1,0)+IF(OR(H17=2,H17=4),0.5,0)</f>
        <v>0</v>
      </c>
      <c r="K17" s="3">
        <f t="shared" ref="K17:K25" si="14">IF(H17=5,1,0)+IF(OR(H17=4,H17=6),0.5,0)</f>
        <v>0</v>
      </c>
      <c r="L17" s="3">
        <f t="shared" ref="L17:L25" si="15">IF(H17=7,1,0)+IF(OR(H17=6,H17=8),0.5,0)</f>
        <v>0</v>
      </c>
      <c r="M17" s="3">
        <f t="shared" ref="M17:M25" si="16">IF(H17=9,1,0)+IF(H17=8,0.5,0)</f>
        <v>0</v>
      </c>
      <c r="N17" s="3">
        <f t="shared" ref="N17:N26" si="17">SUM(I17:M17)</f>
        <v>0</v>
      </c>
      <c r="O17" s="135">
        <f>I17</f>
        <v>0</v>
      </c>
      <c r="P17" s="135">
        <f t="shared" ref="P17:P23" si="18">IF(AND(H17&lt;3,H17&gt;0),1,0)</f>
        <v>0</v>
      </c>
      <c r="Q17" s="135">
        <f>IF(AND(H17&lt;5,H17&gt;0),1,0)</f>
        <v>0</v>
      </c>
      <c r="R17" s="135">
        <f>IF(AND(H17&lt;7,H17&gt;0),1,0)</f>
        <v>0</v>
      </c>
      <c r="S17" s="4">
        <f t="shared" ref="S17:S25" si="19">IF(H17&gt;0,COUNTBLANK(F17),0)</f>
        <v>0</v>
      </c>
      <c r="T17" s="4"/>
      <c r="U17" s="4"/>
      <c r="V17" s="4"/>
      <c r="W17" s="4"/>
      <c r="X17" s="4"/>
      <c r="Y17" s="4"/>
      <c r="Z17" s="4"/>
      <c r="AA17" s="4"/>
      <c r="AB17" s="4"/>
      <c r="AC17" s="4"/>
      <c r="AD17" s="4"/>
      <c r="AE17" s="4"/>
    </row>
    <row r="18" spans="1:31" ht="68.25" thickBot="1" x14ac:dyDescent="0.3">
      <c r="A18" s="35" t="s">
        <v>79</v>
      </c>
      <c r="B18" s="42" t="s">
        <v>220</v>
      </c>
      <c r="C18" s="37" t="s">
        <v>221</v>
      </c>
      <c r="D18" s="37" t="s">
        <v>222</v>
      </c>
      <c r="E18" s="38" t="s">
        <v>244</v>
      </c>
      <c r="F18" s="34" t="s">
        <v>223</v>
      </c>
      <c r="G18" s="92" t="b">
        <f t="shared" si="11"/>
        <v>0</v>
      </c>
      <c r="H18" s="36">
        <v>0</v>
      </c>
      <c r="I18" s="3">
        <f t="shared" si="12"/>
        <v>0</v>
      </c>
      <c r="J18" s="135">
        <f t="shared" si="13"/>
        <v>0</v>
      </c>
      <c r="K18" s="135">
        <f t="shared" si="14"/>
        <v>0</v>
      </c>
      <c r="L18" s="135">
        <f t="shared" si="15"/>
        <v>0</v>
      </c>
      <c r="M18" s="135">
        <f t="shared" si="16"/>
        <v>0</v>
      </c>
      <c r="N18" s="3">
        <f t="shared" si="17"/>
        <v>0</v>
      </c>
      <c r="O18" s="135"/>
      <c r="P18" s="135"/>
      <c r="Q18" s="135"/>
      <c r="R18" s="135"/>
      <c r="S18" s="4">
        <f t="shared" si="19"/>
        <v>0</v>
      </c>
      <c r="T18" s="4"/>
      <c r="U18" s="4"/>
      <c r="V18" s="4"/>
      <c r="W18" s="4"/>
      <c r="X18" s="4"/>
      <c r="Y18" s="4"/>
      <c r="Z18" s="4"/>
      <c r="AA18" s="4"/>
      <c r="AB18" s="4"/>
      <c r="AC18" s="4"/>
      <c r="AD18" s="4"/>
      <c r="AE18" s="4"/>
    </row>
    <row r="19" spans="1:31" ht="45.75" thickBot="1" x14ac:dyDescent="0.3">
      <c r="A19" s="41" t="s">
        <v>80</v>
      </c>
      <c r="B19" s="42" t="s">
        <v>87</v>
      </c>
      <c r="C19" s="37" t="s">
        <v>88</v>
      </c>
      <c r="D19" s="37" t="s">
        <v>245</v>
      </c>
      <c r="E19" s="38" t="s">
        <v>246</v>
      </c>
      <c r="F19" s="34" t="s">
        <v>89</v>
      </c>
      <c r="G19" s="92" t="b">
        <f t="shared" si="11"/>
        <v>0</v>
      </c>
      <c r="H19" s="1">
        <v>0</v>
      </c>
      <c r="I19" s="3">
        <f t="shared" si="12"/>
        <v>0</v>
      </c>
      <c r="J19" s="135">
        <f t="shared" si="13"/>
        <v>0</v>
      </c>
      <c r="K19" s="135">
        <f t="shared" si="14"/>
        <v>0</v>
      </c>
      <c r="L19" s="135">
        <f t="shared" si="15"/>
        <v>0</v>
      </c>
      <c r="M19" s="135">
        <f t="shared" si="16"/>
        <v>0</v>
      </c>
      <c r="N19" s="3">
        <f t="shared" si="17"/>
        <v>0</v>
      </c>
      <c r="O19" s="135"/>
      <c r="P19" s="135"/>
      <c r="Q19" s="135"/>
      <c r="R19" s="135"/>
      <c r="S19" s="4">
        <f t="shared" si="19"/>
        <v>0</v>
      </c>
      <c r="T19" s="4"/>
      <c r="U19" s="4"/>
      <c r="V19" s="4"/>
      <c r="W19" s="4"/>
      <c r="X19" s="4"/>
      <c r="Y19" s="4"/>
      <c r="Z19" s="4"/>
      <c r="AA19" s="4"/>
      <c r="AB19" s="4"/>
      <c r="AC19" s="4"/>
      <c r="AD19" s="4"/>
      <c r="AE19" s="4"/>
    </row>
    <row r="20" spans="1:31" ht="45.75" thickBot="1" x14ac:dyDescent="0.3">
      <c r="A20" s="35" t="s">
        <v>81</v>
      </c>
      <c r="B20" s="42" t="s">
        <v>90</v>
      </c>
      <c r="C20" s="42" t="s">
        <v>91</v>
      </c>
      <c r="D20" s="32" t="s">
        <v>92</v>
      </c>
      <c r="E20" s="33" t="s">
        <v>234</v>
      </c>
      <c r="F20" s="34" t="s">
        <v>93</v>
      </c>
      <c r="G20" s="92" t="b">
        <f t="shared" si="11"/>
        <v>0</v>
      </c>
      <c r="H20" s="1">
        <v>0</v>
      </c>
      <c r="I20" s="3">
        <f t="shared" si="12"/>
        <v>0</v>
      </c>
      <c r="J20" s="135">
        <f t="shared" si="13"/>
        <v>0</v>
      </c>
      <c r="K20" s="135">
        <f t="shared" si="14"/>
        <v>0</v>
      </c>
      <c r="L20" s="135">
        <f t="shared" si="15"/>
        <v>0</v>
      </c>
      <c r="M20" s="135">
        <f t="shared" si="16"/>
        <v>0</v>
      </c>
      <c r="N20" s="3">
        <f t="shared" si="17"/>
        <v>0</v>
      </c>
      <c r="O20" s="135"/>
      <c r="P20" s="135">
        <f t="shared" si="18"/>
        <v>0</v>
      </c>
      <c r="Q20" s="135">
        <f>IF(AND(H20&lt;5,H20&gt;0),1,0)</f>
        <v>0</v>
      </c>
      <c r="R20" s="135">
        <f>IF(AND(H20&lt;7,H20&gt;0),1,0)</f>
        <v>0</v>
      </c>
      <c r="S20" s="4">
        <f t="shared" si="19"/>
        <v>0</v>
      </c>
      <c r="T20" s="4"/>
      <c r="U20" s="4"/>
      <c r="V20" s="4"/>
      <c r="W20" s="4"/>
      <c r="X20" s="4"/>
      <c r="Y20" s="4"/>
      <c r="Z20" s="4"/>
      <c r="AA20" s="4"/>
      <c r="AB20" s="4"/>
      <c r="AC20" s="4"/>
      <c r="AD20" s="4"/>
      <c r="AE20" s="4"/>
    </row>
    <row r="21" spans="1:31" ht="57" thickBot="1" x14ac:dyDescent="0.3">
      <c r="A21" s="41" t="s">
        <v>82</v>
      </c>
      <c r="B21" s="42" t="s">
        <v>95</v>
      </c>
      <c r="C21" s="37" t="s">
        <v>96</v>
      </c>
      <c r="D21" s="32" t="s">
        <v>97</v>
      </c>
      <c r="E21" s="33" t="s">
        <v>247</v>
      </c>
      <c r="F21" s="34" t="s">
        <v>98</v>
      </c>
      <c r="G21" s="92" t="b">
        <f t="shared" si="11"/>
        <v>0</v>
      </c>
      <c r="H21" s="1">
        <v>0</v>
      </c>
      <c r="I21" s="3">
        <f t="shared" si="12"/>
        <v>0</v>
      </c>
      <c r="J21" s="135">
        <f t="shared" si="13"/>
        <v>0</v>
      </c>
      <c r="K21" s="135">
        <f t="shared" si="14"/>
        <v>0</v>
      </c>
      <c r="L21" s="135">
        <f t="shared" si="15"/>
        <v>0</v>
      </c>
      <c r="M21" s="135">
        <f t="shared" si="16"/>
        <v>0</v>
      </c>
      <c r="N21" s="3">
        <f t="shared" si="17"/>
        <v>0</v>
      </c>
      <c r="O21" s="135"/>
      <c r="P21" s="135">
        <f t="shared" si="18"/>
        <v>0</v>
      </c>
      <c r="Q21" s="135">
        <f>IF(AND(H21&lt;5,H21&gt;0),1,0)</f>
        <v>0</v>
      </c>
      <c r="R21" s="135">
        <f>IF(AND(H21&lt;7,H21&gt;0),1,0)</f>
        <v>0</v>
      </c>
      <c r="S21" s="4">
        <f t="shared" si="19"/>
        <v>0</v>
      </c>
      <c r="T21" s="4"/>
      <c r="U21" s="4"/>
      <c r="V21" s="4"/>
      <c r="W21" s="4"/>
      <c r="X21" s="4"/>
      <c r="Y21" s="4"/>
      <c r="Z21" s="4"/>
      <c r="AA21" s="4"/>
      <c r="AB21" s="4"/>
      <c r="AC21" s="4"/>
      <c r="AD21" s="4"/>
      <c r="AE21" s="4"/>
    </row>
    <row r="22" spans="1:31" ht="79.5" thickBot="1" x14ac:dyDescent="0.3">
      <c r="A22" s="35" t="s">
        <v>83</v>
      </c>
      <c r="B22" s="40" t="s">
        <v>99</v>
      </c>
      <c r="C22" s="37" t="s">
        <v>100</v>
      </c>
      <c r="D22" s="37" t="s">
        <v>101</v>
      </c>
      <c r="E22" s="38" t="s">
        <v>102</v>
      </c>
      <c r="F22" s="34" t="s">
        <v>103</v>
      </c>
      <c r="G22" s="92" t="b">
        <f t="shared" si="11"/>
        <v>0</v>
      </c>
      <c r="H22" s="36">
        <v>0</v>
      </c>
      <c r="I22" s="3">
        <f t="shared" si="12"/>
        <v>0</v>
      </c>
      <c r="J22" s="135">
        <f t="shared" si="13"/>
        <v>0</v>
      </c>
      <c r="K22" s="135">
        <f t="shared" si="14"/>
        <v>0</v>
      </c>
      <c r="L22" s="135">
        <f t="shared" si="15"/>
        <v>0</v>
      </c>
      <c r="M22" s="135">
        <f t="shared" si="16"/>
        <v>0</v>
      </c>
      <c r="N22" s="3">
        <f t="shared" si="17"/>
        <v>0</v>
      </c>
      <c r="O22" s="3"/>
      <c r="P22" s="135"/>
      <c r="Q22" s="135"/>
      <c r="R22" s="135"/>
      <c r="S22" s="4">
        <f t="shared" si="19"/>
        <v>0</v>
      </c>
      <c r="T22" s="4"/>
      <c r="U22" s="4"/>
      <c r="V22" s="4"/>
      <c r="W22" s="4"/>
      <c r="X22" s="4"/>
      <c r="Y22" s="4"/>
      <c r="Z22" s="4"/>
      <c r="AA22" s="4"/>
      <c r="AB22" s="4"/>
      <c r="AC22" s="4"/>
      <c r="AD22" s="4"/>
      <c r="AE22" s="4"/>
    </row>
    <row r="23" spans="1:31" ht="45.75" thickBot="1" x14ac:dyDescent="0.3">
      <c r="A23" s="107" t="s">
        <v>84</v>
      </c>
      <c r="B23" s="108" t="s">
        <v>104</v>
      </c>
      <c r="C23" s="108" t="s">
        <v>105</v>
      </c>
      <c r="D23" s="108" t="s">
        <v>249</v>
      </c>
      <c r="E23" s="109" t="s">
        <v>248</v>
      </c>
      <c r="F23" s="110" t="s">
        <v>106</v>
      </c>
      <c r="G23" s="92" t="b">
        <f t="shared" si="11"/>
        <v>0</v>
      </c>
      <c r="H23" s="1">
        <v>0</v>
      </c>
      <c r="I23" s="3">
        <f t="shared" si="12"/>
        <v>0</v>
      </c>
      <c r="J23" s="135">
        <f t="shared" si="13"/>
        <v>0</v>
      </c>
      <c r="K23" s="135">
        <f t="shared" si="14"/>
        <v>0</v>
      </c>
      <c r="L23" s="135">
        <f t="shared" si="15"/>
        <v>0</v>
      </c>
      <c r="M23" s="135">
        <f t="shared" si="16"/>
        <v>0</v>
      </c>
      <c r="N23" s="3">
        <f t="shared" si="17"/>
        <v>0</v>
      </c>
      <c r="O23" s="135">
        <f>I23</f>
        <v>0</v>
      </c>
      <c r="P23" s="135">
        <f t="shared" si="18"/>
        <v>0</v>
      </c>
      <c r="Q23" s="135">
        <f>IF(AND(H23&lt;5,H23&gt;0),1,0)</f>
        <v>0</v>
      </c>
      <c r="R23" s="135">
        <f>IF(AND(H23&lt;7,H23&gt;0),1,0)</f>
        <v>0</v>
      </c>
      <c r="S23" s="4">
        <f t="shared" si="19"/>
        <v>0</v>
      </c>
      <c r="T23" s="4"/>
      <c r="U23" s="4"/>
      <c r="V23" s="4"/>
      <c r="W23" s="4"/>
      <c r="X23" s="4"/>
      <c r="Y23" s="4"/>
      <c r="Z23" s="4"/>
      <c r="AA23" s="4"/>
      <c r="AB23" s="4"/>
      <c r="AC23" s="4"/>
      <c r="AD23" s="4"/>
      <c r="AE23" s="4"/>
    </row>
    <row r="24" spans="1:31" ht="57.75" thickTop="1" thickBot="1" x14ac:dyDescent="0.3">
      <c r="A24" s="35" t="s">
        <v>85</v>
      </c>
      <c r="B24" s="104" t="s">
        <v>107</v>
      </c>
      <c r="C24" s="104" t="s">
        <v>108</v>
      </c>
      <c r="D24" s="104" t="s">
        <v>109</v>
      </c>
      <c r="E24" s="105" t="s">
        <v>250</v>
      </c>
      <c r="F24" s="106" t="s">
        <v>251</v>
      </c>
      <c r="G24" s="92" t="b">
        <f t="shared" si="11"/>
        <v>0</v>
      </c>
      <c r="H24" s="1">
        <v>0</v>
      </c>
      <c r="I24" s="3">
        <f t="shared" si="12"/>
        <v>0</v>
      </c>
      <c r="J24" s="135">
        <f t="shared" si="13"/>
        <v>0</v>
      </c>
      <c r="K24" s="135">
        <f t="shared" si="14"/>
        <v>0</v>
      </c>
      <c r="L24" s="135">
        <f t="shared" si="15"/>
        <v>0</v>
      </c>
      <c r="M24" s="135">
        <f t="shared" si="16"/>
        <v>0</v>
      </c>
      <c r="N24" s="3">
        <f t="shared" si="17"/>
        <v>0</v>
      </c>
      <c r="O24" s="135"/>
      <c r="P24" s="135"/>
      <c r="Q24" s="135"/>
      <c r="R24" s="135"/>
      <c r="S24" s="4">
        <f t="shared" si="19"/>
        <v>0</v>
      </c>
      <c r="T24" s="4"/>
      <c r="U24" s="4"/>
      <c r="V24" s="4"/>
      <c r="W24" s="4"/>
      <c r="X24" s="4"/>
      <c r="Y24" s="4"/>
      <c r="Z24" s="4"/>
      <c r="AA24" s="4"/>
      <c r="AB24" s="4"/>
      <c r="AC24" s="4"/>
      <c r="AD24" s="4"/>
      <c r="AE24" s="4"/>
    </row>
    <row r="25" spans="1:31" ht="57" thickBot="1" x14ac:dyDescent="0.3">
      <c r="A25" s="35" t="s">
        <v>86</v>
      </c>
      <c r="B25" s="42" t="s">
        <v>239</v>
      </c>
      <c r="C25" s="37" t="s">
        <v>110</v>
      </c>
      <c r="D25" s="42" t="s">
        <v>111</v>
      </c>
      <c r="E25" s="43" t="s">
        <v>112</v>
      </c>
      <c r="F25" s="34" t="s">
        <v>113</v>
      </c>
      <c r="G25" s="92" t="b">
        <f t="shared" si="11"/>
        <v>0</v>
      </c>
      <c r="H25" s="1">
        <v>0</v>
      </c>
      <c r="I25" s="3">
        <f t="shared" si="12"/>
        <v>0</v>
      </c>
      <c r="J25" s="135">
        <f t="shared" si="13"/>
        <v>0</v>
      </c>
      <c r="K25" s="135">
        <f t="shared" si="14"/>
        <v>0</v>
      </c>
      <c r="L25" s="135">
        <f t="shared" si="15"/>
        <v>0</v>
      </c>
      <c r="M25" s="135">
        <f t="shared" si="16"/>
        <v>0</v>
      </c>
      <c r="N25" s="3">
        <f t="shared" si="17"/>
        <v>0</v>
      </c>
      <c r="O25" s="135"/>
      <c r="P25" s="135"/>
      <c r="Q25" s="135"/>
      <c r="R25" s="135"/>
      <c r="S25" s="4">
        <f t="shared" si="19"/>
        <v>0</v>
      </c>
      <c r="T25" s="4"/>
      <c r="U25" s="4"/>
      <c r="V25" s="4"/>
      <c r="W25" s="4"/>
      <c r="X25" s="4"/>
      <c r="Y25" s="4"/>
      <c r="Z25" s="4"/>
      <c r="AA25" s="4">
        <f>-(($W26-0)/($V26-$U26)^2)*($T26-$V26)^2+$W26</f>
        <v>0</v>
      </c>
      <c r="AB25" s="4">
        <f>(($Y26-$W26)/($X26-$V26)^2)*($T26-$V26)^2+$W26</f>
        <v>7</v>
      </c>
      <c r="AC25" s="4" t="e">
        <f>-((9.75-$Y26)/($Z26-$X26)^2)*($T26-$Z26)^2+9.75</f>
        <v>#DIV/0!</v>
      </c>
      <c r="AD25" s="4"/>
      <c r="AE25" s="135"/>
    </row>
    <row r="26" spans="1:31" ht="24.75" thickTop="1" thickBot="1" x14ac:dyDescent="0.3">
      <c r="A26" s="171" t="s">
        <v>117</v>
      </c>
      <c r="B26" s="206"/>
      <c r="C26" s="206"/>
      <c r="D26" s="206"/>
      <c r="E26" s="206"/>
      <c r="F26" s="207"/>
      <c r="G26" s="92"/>
      <c r="H26" s="134">
        <f t="shared" ref="H26:M26" si="20">SUM(H17:H25)</f>
        <v>0</v>
      </c>
      <c r="I26" s="3">
        <f t="shared" si="20"/>
        <v>0</v>
      </c>
      <c r="J26" s="3">
        <f t="shared" si="20"/>
        <v>0</v>
      </c>
      <c r="K26" s="3">
        <f t="shared" si="20"/>
        <v>0</v>
      </c>
      <c r="L26" s="3">
        <f t="shared" si="20"/>
        <v>0</v>
      </c>
      <c r="M26" s="3">
        <f t="shared" si="20"/>
        <v>0</v>
      </c>
      <c r="N26" s="3">
        <f t="shared" si="17"/>
        <v>0</v>
      </c>
      <c r="O26" s="3">
        <f>SUM(O17:O25)</f>
        <v>0</v>
      </c>
      <c r="P26" s="3">
        <f>SUM(P17:P25)</f>
        <v>0</v>
      </c>
      <c r="Q26" s="3">
        <f>SUM(Q17:Q25)</f>
        <v>0</v>
      </c>
      <c r="R26" s="3">
        <f>SUM(R17:R25)</f>
        <v>0</v>
      </c>
      <c r="S26" s="135">
        <f>SUM(S17:S25)</f>
        <v>0</v>
      </c>
      <c r="T26" s="135">
        <f>H26</f>
        <v>0</v>
      </c>
      <c r="U26" s="135">
        <f>N26</f>
        <v>0</v>
      </c>
      <c r="V26" s="135">
        <f>X26-6</f>
        <v>-6</v>
      </c>
      <c r="W26" s="135">
        <v>5.75</v>
      </c>
      <c r="X26" s="135">
        <f>N26*(Verzamelstaat!$H$12*2+1)</f>
        <v>0</v>
      </c>
      <c r="Y26" s="135">
        <v>7</v>
      </c>
      <c r="Z26" s="135">
        <f>(N26-S26)*9+S26*7</f>
        <v>0</v>
      </c>
      <c r="AA26" s="135">
        <f>(W26/(V26-U26))*(T26 -U26)</f>
        <v>0</v>
      </c>
      <c r="AB26" s="135">
        <f>((Y26-W26)/(X26-V26))*(T26 -V26)+W26</f>
        <v>7</v>
      </c>
      <c r="AC26" s="135" t="e">
        <f>((9.75-Y26)/(Z26-X26))*(T26 -X26)+Y26</f>
        <v>#DIV/0!</v>
      </c>
      <c r="AD26" s="135">
        <f>IF(H26&lt;=V26,AA25,IF(H26&lt;=X26,AB26,AC25))</f>
        <v>7</v>
      </c>
      <c r="AE26" s="135">
        <f>ROUND(2*AD26,0)/2</f>
        <v>7</v>
      </c>
    </row>
    <row r="27" spans="1:31" ht="46.5" thickTop="1" thickBot="1" x14ac:dyDescent="0.3">
      <c r="A27" s="22"/>
      <c r="B27" s="23" t="s">
        <v>10</v>
      </c>
      <c r="C27" s="23" t="s">
        <v>11</v>
      </c>
      <c r="D27" s="23" t="s">
        <v>12</v>
      </c>
      <c r="E27" s="24" t="s">
        <v>0</v>
      </c>
      <c r="F27" s="25" t="s">
        <v>1</v>
      </c>
      <c r="G27" s="92"/>
      <c r="H27" s="26"/>
      <c r="I27" s="27" t="s">
        <v>10</v>
      </c>
      <c r="J27" s="27" t="s">
        <v>11</v>
      </c>
      <c r="K27" s="27" t="s">
        <v>12</v>
      </c>
      <c r="L27" s="27" t="s">
        <v>0</v>
      </c>
      <c r="M27" s="27" t="s">
        <v>1</v>
      </c>
      <c r="N27" s="28" t="s">
        <v>5</v>
      </c>
      <c r="O27" s="28"/>
      <c r="P27" s="29" t="s">
        <v>66</v>
      </c>
      <c r="Q27" s="29" t="s">
        <v>67</v>
      </c>
      <c r="R27" s="29" t="s">
        <v>70</v>
      </c>
      <c r="S27" s="29" t="s">
        <v>178</v>
      </c>
      <c r="T27" s="29"/>
      <c r="U27" s="11" t="s">
        <v>207</v>
      </c>
      <c r="V27" s="11" t="s">
        <v>208</v>
      </c>
      <c r="W27" s="11" t="s">
        <v>209</v>
      </c>
      <c r="X27" s="11" t="s">
        <v>210</v>
      </c>
      <c r="Y27" s="11" t="s">
        <v>211</v>
      </c>
      <c r="Z27" s="11" t="s">
        <v>212</v>
      </c>
      <c r="AA27" s="11" t="s">
        <v>213</v>
      </c>
      <c r="AB27" s="11" t="s">
        <v>214</v>
      </c>
      <c r="AC27" s="11" t="s">
        <v>215</v>
      </c>
      <c r="AD27" s="11" t="s">
        <v>182</v>
      </c>
      <c r="AE27" s="11" t="s">
        <v>184</v>
      </c>
    </row>
    <row r="28" spans="1:31" ht="79.5" thickBot="1" x14ac:dyDescent="0.3">
      <c r="A28" s="31" t="s">
        <v>118</v>
      </c>
      <c r="B28" s="42" t="s">
        <v>125</v>
      </c>
      <c r="C28" s="42" t="s">
        <v>132</v>
      </c>
      <c r="D28" s="42" t="s">
        <v>133</v>
      </c>
      <c r="E28" s="43" t="s">
        <v>134</v>
      </c>
      <c r="F28" s="34"/>
      <c r="G28" s="92" t="b">
        <f t="shared" ref="G28:G34" si="21">IF(H28&gt;0,TRUE,FALSE)</f>
        <v>0</v>
      </c>
      <c r="H28" s="1">
        <v>0</v>
      </c>
      <c r="I28" s="3">
        <f t="shared" ref="I28:I34" si="22">IF(H28=1,1,0)+IF(H28=2,0.5,0)</f>
        <v>0</v>
      </c>
      <c r="J28" s="135">
        <f t="shared" ref="J28:J34" si="23">IF(H28=3,1,0)+IF(OR(H28=2,H28=4),0.5,0)</f>
        <v>0</v>
      </c>
      <c r="K28" s="135">
        <f t="shared" ref="K28:K34" si="24">IF(H28=5,1,0)+IF(OR(H28=4,H28=6),0.5,0)</f>
        <v>0</v>
      </c>
      <c r="L28" s="135">
        <f t="shared" ref="L28:L34" si="25">IF(H28=7,1,0)+IF(OR(H28=6,H28=8),0.5,0)</f>
        <v>0</v>
      </c>
      <c r="M28" s="135">
        <f t="shared" ref="M28:M34" si="26">IF(H28=9,1,0)+IF(H28=8,0.5,0)</f>
        <v>0</v>
      </c>
      <c r="N28" s="3">
        <f t="shared" ref="N28:N35" si="27">SUM(I28:M28)</f>
        <v>0</v>
      </c>
      <c r="O28" s="135"/>
      <c r="P28" s="135"/>
      <c r="Q28" s="135"/>
      <c r="R28" s="135"/>
      <c r="S28" s="4">
        <f t="shared" ref="S28:S34" si="28">IF(H28&gt;0,COUNTBLANK(F28),0)</f>
        <v>0</v>
      </c>
      <c r="T28" s="4"/>
      <c r="U28" s="4"/>
      <c r="V28" s="4"/>
      <c r="W28" s="4"/>
      <c r="X28" s="4"/>
      <c r="Y28" s="4"/>
      <c r="Z28" s="4"/>
      <c r="AA28" s="4"/>
      <c r="AB28" s="4"/>
      <c r="AC28" s="4"/>
      <c r="AD28" s="4"/>
      <c r="AE28" s="4"/>
    </row>
    <row r="29" spans="1:31" ht="90.75" thickBot="1" x14ac:dyDescent="0.3">
      <c r="A29" s="35" t="s">
        <v>119</v>
      </c>
      <c r="B29" s="32" t="s">
        <v>126</v>
      </c>
      <c r="C29" s="32" t="s">
        <v>135</v>
      </c>
      <c r="D29" s="32" t="s">
        <v>136</v>
      </c>
      <c r="E29" s="33" t="s">
        <v>137</v>
      </c>
      <c r="F29" s="34" t="s">
        <v>138</v>
      </c>
      <c r="G29" s="92" t="b">
        <f t="shared" si="21"/>
        <v>0</v>
      </c>
      <c r="H29" s="36">
        <v>0</v>
      </c>
      <c r="I29" s="3">
        <f t="shared" si="22"/>
        <v>0</v>
      </c>
      <c r="J29" s="135">
        <f t="shared" si="23"/>
        <v>0</v>
      </c>
      <c r="K29" s="135">
        <f t="shared" si="24"/>
        <v>0</v>
      </c>
      <c r="L29" s="135">
        <f t="shared" si="25"/>
        <v>0</v>
      </c>
      <c r="M29" s="135">
        <f t="shared" si="26"/>
        <v>0</v>
      </c>
      <c r="N29" s="3">
        <f t="shared" si="27"/>
        <v>0</v>
      </c>
      <c r="O29" s="135">
        <f>I29</f>
        <v>0</v>
      </c>
      <c r="P29" s="135">
        <f>IF(AND(H29&lt;3,H29&gt;0),1,0)</f>
        <v>0</v>
      </c>
      <c r="Q29" s="135">
        <f>IF(AND(H29&lt;5,H29&gt;0),1,0)</f>
        <v>0</v>
      </c>
      <c r="R29" s="135">
        <f>IF(AND(H29&lt;7,H29&gt;0),1,0)</f>
        <v>0</v>
      </c>
      <c r="S29" s="4">
        <f t="shared" si="28"/>
        <v>0</v>
      </c>
      <c r="T29" s="4"/>
      <c r="U29" s="4"/>
      <c r="V29" s="4"/>
      <c r="W29" s="4"/>
      <c r="X29" s="4"/>
      <c r="Y29" s="4"/>
      <c r="Z29" s="4"/>
      <c r="AA29" s="4"/>
      <c r="AB29" s="4"/>
      <c r="AC29" s="4"/>
      <c r="AD29" s="4"/>
      <c r="AE29" s="4"/>
    </row>
    <row r="30" spans="1:31" ht="102" thickBot="1" x14ac:dyDescent="0.3">
      <c r="A30" s="35" t="s">
        <v>120</v>
      </c>
      <c r="B30" s="42" t="s">
        <v>127</v>
      </c>
      <c r="C30" s="37" t="s">
        <v>139</v>
      </c>
      <c r="D30" s="37" t="s">
        <v>140</v>
      </c>
      <c r="E30" s="38" t="s">
        <v>141</v>
      </c>
      <c r="F30" s="34" t="s">
        <v>142</v>
      </c>
      <c r="G30" s="92" t="b">
        <f t="shared" si="21"/>
        <v>0</v>
      </c>
      <c r="H30" s="1">
        <v>0</v>
      </c>
      <c r="I30" s="3">
        <f t="shared" si="22"/>
        <v>0</v>
      </c>
      <c r="J30" s="135">
        <f t="shared" si="23"/>
        <v>0</v>
      </c>
      <c r="K30" s="135">
        <f t="shared" si="24"/>
        <v>0</v>
      </c>
      <c r="L30" s="135">
        <f t="shared" si="25"/>
        <v>0</v>
      </c>
      <c r="M30" s="135">
        <f t="shared" si="26"/>
        <v>0</v>
      </c>
      <c r="N30" s="3">
        <f t="shared" si="27"/>
        <v>0</v>
      </c>
      <c r="O30" s="135"/>
      <c r="P30" s="135"/>
      <c r="Q30" s="135"/>
      <c r="R30" s="135"/>
      <c r="S30" s="4">
        <f t="shared" si="28"/>
        <v>0</v>
      </c>
      <c r="T30" s="4"/>
      <c r="U30" s="4"/>
      <c r="V30" s="4"/>
      <c r="W30" s="4"/>
      <c r="X30" s="4"/>
      <c r="Y30" s="4"/>
      <c r="Z30" s="4"/>
      <c r="AA30" s="4"/>
      <c r="AB30" s="4"/>
      <c r="AC30" s="4"/>
      <c r="AD30" s="4"/>
      <c r="AE30" s="4"/>
    </row>
    <row r="31" spans="1:31" ht="102" thickBot="1" x14ac:dyDescent="0.3">
      <c r="A31" s="35" t="s">
        <v>121</v>
      </c>
      <c r="B31" s="32" t="s">
        <v>128</v>
      </c>
      <c r="C31" s="32" t="s">
        <v>143</v>
      </c>
      <c r="D31" s="32" t="s">
        <v>144</v>
      </c>
      <c r="E31" s="33" t="s">
        <v>145</v>
      </c>
      <c r="F31" s="34" t="s">
        <v>146</v>
      </c>
      <c r="G31" s="92" t="b">
        <f t="shared" si="21"/>
        <v>0</v>
      </c>
      <c r="H31" s="1">
        <v>0</v>
      </c>
      <c r="I31" s="3">
        <f t="shared" si="22"/>
        <v>0</v>
      </c>
      <c r="J31" s="135">
        <f t="shared" si="23"/>
        <v>0</v>
      </c>
      <c r="K31" s="135">
        <f t="shared" si="24"/>
        <v>0</v>
      </c>
      <c r="L31" s="135">
        <f t="shared" si="25"/>
        <v>0</v>
      </c>
      <c r="M31" s="135">
        <f t="shared" si="26"/>
        <v>0</v>
      </c>
      <c r="N31" s="3">
        <f t="shared" si="27"/>
        <v>0</v>
      </c>
      <c r="O31" s="135">
        <f>I31</f>
        <v>0</v>
      </c>
      <c r="P31" s="135">
        <f>IF(AND(H31&lt;3,H31&gt;0),1,0)</f>
        <v>0</v>
      </c>
      <c r="Q31" s="135">
        <f>IF(AND(H31&lt;5,H31&gt;0),1,0)</f>
        <v>0</v>
      </c>
      <c r="R31" s="135">
        <f>IF(AND(H31&lt;7,H31&gt;0),1,0)</f>
        <v>0</v>
      </c>
      <c r="S31" s="4">
        <f t="shared" si="28"/>
        <v>0</v>
      </c>
      <c r="T31" s="4"/>
      <c r="U31" s="4"/>
      <c r="V31" s="4"/>
      <c r="W31" s="4"/>
      <c r="X31" s="4"/>
      <c r="Y31" s="4"/>
      <c r="Z31" s="4"/>
      <c r="AA31" s="4"/>
      <c r="AB31" s="4"/>
      <c r="AC31" s="4"/>
      <c r="AD31" s="4"/>
      <c r="AE31" s="4"/>
    </row>
    <row r="32" spans="1:31" ht="79.5" thickBot="1" x14ac:dyDescent="0.3">
      <c r="A32" s="35" t="s">
        <v>122</v>
      </c>
      <c r="B32" s="42" t="s">
        <v>129</v>
      </c>
      <c r="C32" s="37" t="s">
        <v>147</v>
      </c>
      <c r="D32" s="32" t="s">
        <v>148</v>
      </c>
      <c r="E32" s="33" t="s">
        <v>149</v>
      </c>
      <c r="F32" s="34"/>
      <c r="G32" s="92" t="b">
        <f t="shared" si="21"/>
        <v>0</v>
      </c>
      <c r="H32" s="1">
        <v>0</v>
      </c>
      <c r="I32" s="3">
        <f t="shared" si="22"/>
        <v>0</v>
      </c>
      <c r="J32" s="135">
        <f t="shared" si="23"/>
        <v>0</v>
      </c>
      <c r="K32" s="135">
        <f t="shared" si="24"/>
        <v>0</v>
      </c>
      <c r="L32" s="135">
        <f t="shared" si="25"/>
        <v>0</v>
      </c>
      <c r="M32" s="135">
        <f t="shared" si="26"/>
        <v>0</v>
      </c>
      <c r="N32" s="3">
        <f t="shared" si="27"/>
        <v>0</v>
      </c>
      <c r="O32" s="135"/>
      <c r="P32" s="135"/>
      <c r="Q32" s="135">
        <f>IF(AND(H32&lt;5,H32&gt;0),1,0)</f>
        <v>0</v>
      </c>
      <c r="R32" s="135">
        <f>IF(AND(H32&lt;7,H32&gt;0),1,0)</f>
        <v>0</v>
      </c>
      <c r="S32" s="4">
        <f t="shared" si="28"/>
        <v>0</v>
      </c>
      <c r="T32" s="4"/>
      <c r="U32" s="4"/>
      <c r="V32" s="4"/>
      <c r="W32" s="4"/>
      <c r="X32" s="4"/>
      <c r="Y32" s="4"/>
      <c r="Z32" s="4"/>
      <c r="AA32" s="4"/>
      <c r="AB32" s="4"/>
      <c r="AC32" s="4"/>
      <c r="AD32" s="4"/>
      <c r="AE32" s="4"/>
    </row>
    <row r="33" spans="1:31" ht="45.75" thickBot="1" x14ac:dyDescent="0.3">
      <c r="A33" s="35" t="s">
        <v>123</v>
      </c>
      <c r="B33" s="40" t="s">
        <v>130</v>
      </c>
      <c r="C33" s="37" t="s">
        <v>150</v>
      </c>
      <c r="D33" s="37" t="s">
        <v>151</v>
      </c>
      <c r="E33" s="38" t="s">
        <v>152</v>
      </c>
      <c r="F33" s="34" t="s">
        <v>153</v>
      </c>
      <c r="G33" s="92" t="b">
        <f t="shared" si="21"/>
        <v>0</v>
      </c>
      <c r="H33" s="36">
        <v>0</v>
      </c>
      <c r="I33" s="3">
        <f t="shared" si="22"/>
        <v>0</v>
      </c>
      <c r="J33" s="135">
        <f t="shared" si="23"/>
        <v>0</v>
      </c>
      <c r="K33" s="135">
        <f t="shared" si="24"/>
        <v>0</v>
      </c>
      <c r="L33" s="135">
        <f t="shared" si="25"/>
        <v>0</v>
      </c>
      <c r="M33" s="135">
        <f t="shared" si="26"/>
        <v>0</v>
      </c>
      <c r="N33" s="3">
        <f t="shared" si="27"/>
        <v>0</v>
      </c>
      <c r="O33" s="135"/>
      <c r="P33" s="135"/>
      <c r="Q33" s="135"/>
      <c r="R33" s="135"/>
      <c r="S33" s="4">
        <f t="shared" si="28"/>
        <v>0</v>
      </c>
      <c r="T33" s="4"/>
      <c r="U33" s="4"/>
      <c r="V33" s="4"/>
      <c r="W33" s="4"/>
      <c r="X33" s="4"/>
      <c r="Y33" s="4"/>
      <c r="Z33" s="4"/>
      <c r="AA33" s="4"/>
      <c r="AB33" s="4"/>
      <c r="AC33" s="4"/>
      <c r="AD33" s="4"/>
      <c r="AE33" s="4"/>
    </row>
    <row r="34" spans="1:31" ht="57" thickBot="1" x14ac:dyDescent="0.3">
      <c r="A34" s="96" t="s">
        <v>124</v>
      </c>
      <c r="B34" s="97" t="s">
        <v>131</v>
      </c>
      <c r="C34" s="97" t="s">
        <v>154</v>
      </c>
      <c r="D34" s="97" t="s">
        <v>155</v>
      </c>
      <c r="E34" s="98" t="s">
        <v>156</v>
      </c>
      <c r="F34" s="99" t="s">
        <v>157</v>
      </c>
      <c r="G34" s="92" t="b">
        <f t="shared" si="21"/>
        <v>0</v>
      </c>
      <c r="H34" s="1">
        <v>0</v>
      </c>
      <c r="I34" s="3">
        <f t="shared" si="22"/>
        <v>0</v>
      </c>
      <c r="J34" s="135">
        <f t="shared" si="23"/>
        <v>0</v>
      </c>
      <c r="K34" s="135">
        <f t="shared" si="24"/>
        <v>0</v>
      </c>
      <c r="L34" s="135">
        <f t="shared" si="25"/>
        <v>0</v>
      </c>
      <c r="M34" s="135">
        <f t="shared" si="26"/>
        <v>0</v>
      </c>
      <c r="N34" s="3">
        <f t="shared" si="27"/>
        <v>0</v>
      </c>
      <c r="O34" s="135">
        <f>I34</f>
        <v>0</v>
      </c>
      <c r="P34" s="135">
        <f>IF(AND(H34&lt;3,H34&gt;0),1,0)</f>
        <v>0</v>
      </c>
      <c r="Q34" s="135">
        <f>IF(AND(H34&lt;5,H34&gt;0),1,0)</f>
        <v>0</v>
      </c>
      <c r="R34" s="135">
        <f>IF(AND(H34&lt;7,H34&gt;0),1,0)</f>
        <v>0</v>
      </c>
      <c r="S34" s="4">
        <f t="shared" si="28"/>
        <v>0</v>
      </c>
      <c r="T34" s="4"/>
      <c r="U34" s="4"/>
      <c r="V34" s="4"/>
      <c r="W34" s="4"/>
      <c r="X34" s="4"/>
      <c r="Y34" s="4"/>
      <c r="Z34" s="4"/>
      <c r="AA34" s="4">
        <f>-(($W35-0)/($V35-$U35)^2)*($T35-$V35)^2+$W35</f>
        <v>0</v>
      </c>
      <c r="AB34" s="4">
        <f>(($Y35-$W35)/($X35-$V35)^2)*($T35-$V35)^2+$W35</f>
        <v>7</v>
      </c>
      <c r="AC34" s="4" t="e">
        <f>-((9.75-$Y35)/($Z35-$X35)^2)*($T35-$Z35)^2+9.75</f>
        <v>#DIV/0!</v>
      </c>
      <c r="AD34" s="4"/>
      <c r="AE34" s="135"/>
    </row>
    <row r="35" spans="1:31" ht="15.75" thickTop="1" x14ac:dyDescent="0.25">
      <c r="A35" s="4"/>
      <c r="B35" s="4"/>
      <c r="C35" s="4"/>
      <c r="D35" s="4"/>
      <c r="E35" s="4"/>
      <c r="F35" s="4"/>
      <c r="G35" s="92"/>
      <c r="H35" s="1">
        <f t="shared" ref="H35:M35" si="29">SUM(H28:H34)</f>
        <v>0</v>
      </c>
      <c r="I35" s="1">
        <f t="shared" si="29"/>
        <v>0</v>
      </c>
      <c r="J35" s="1">
        <f t="shared" si="29"/>
        <v>0</v>
      </c>
      <c r="K35" s="1">
        <f t="shared" si="29"/>
        <v>0</v>
      </c>
      <c r="L35" s="1">
        <f t="shared" si="29"/>
        <v>0</v>
      </c>
      <c r="M35" s="1">
        <f t="shared" si="29"/>
        <v>0</v>
      </c>
      <c r="N35" s="3">
        <f t="shared" si="27"/>
        <v>0</v>
      </c>
      <c r="O35" s="3">
        <f>SUM(O28:O34)</f>
        <v>0</v>
      </c>
      <c r="P35" s="3">
        <f>SUM(P28:P34)</f>
        <v>0</v>
      </c>
      <c r="Q35" s="3">
        <f>SUM(Q28:Q34)</f>
        <v>0</v>
      </c>
      <c r="R35" s="3">
        <f>SUM(R28:R34)</f>
        <v>0</v>
      </c>
      <c r="S35" s="135">
        <f>SUM(S28:S34)</f>
        <v>0</v>
      </c>
      <c r="T35" s="135">
        <f>H35</f>
        <v>0</v>
      </c>
      <c r="U35" s="135">
        <f>N35</f>
        <v>0</v>
      </c>
      <c r="V35" s="135">
        <f>X35-6</f>
        <v>-6</v>
      </c>
      <c r="W35" s="135">
        <v>5.75</v>
      </c>
      <c r="X35" s="135">
        <f>N35*(Verzamelstaat!$H$12*2+1)</f>
        <v>0</v>
      </c>
      <c r="Y35" s="135">
        <v>7</v>
      </c>
      <c r="Z35" s="135">
        <f>(N35-S35)*9+S35*7</f>
        <v>0</v>
      </c>
      <c r="AA35" s="135">
        <f>(W35/(V35-U35))*(T35 -U35)</f>
        <v>0</v>
      </c>
      <c r="AB35" s="135">
        <f>((Y35-W35)/(X35-V35))*(T35 -V35)+W35</f>
        <v>7</v>
      </c>
      <c r="AC35" s="135" t="e">
        <f>((9.75-Y35)/(Z35-X35))*(T35 -X35)+Y35</f>
        <v>#DIV/0!</v>
      </c>
      <c r="AD35" s="135">
        <f>IF(H35&lt;=V35,AA35,IF(H35&lt;=X35,AB35,AC35))</f>
        <v>7</v>
      </c>
      <c r="AE35" s="135">
        <f>ROUND(2*AD35,0)/2</f>
        <v>7</v>
      </c>
    </row>
  </sheetData>
  <mergeCells count="3">
    <mergeCell ref="A3:F3"/>
    <mergeCell ref="A15:F15"/>
    <mergeCell ref="A26:F26"/>
  </mergeCells>
  <conditionalFormatting sqref="B31 B29 B34">
    <cfRule type="expression" dxfId="29" priority="1">
      <formula>OR(H29=1,H29=2)</formula>
    </cfRule>
  </conditionalFormatting>
  <conditionalFormatting sqref="F5:F17 F19:F34">
    <cfRule type="expression" dxfId="28" priority="30">
      <formula>OR($H5=8,$H5=9)</formula>
    </cfRule>
  </conditionalFormatting>
  <conditionalFormatting sqref="C5:C17 C19:C34">
    <cfRule type="expression" dxfId="27" priority="29">
      <formula>OR($H5=2,$H5=3,$H5=4)</formula>
    </cfRule>
  </conditionalFormatting>
  <conditionalFormatting sqref="E5:E17 E19:E34">
    <cfRule type="expression" dxfId="26" priority="28">
      <formula>OR($H5=6,$H5=7,$H5=8)</formula>
    </cfRule>
  </conditionalFormatting>
  <conditionalFormatting sqref="D5:D17 D19:D34">
    <cfRule type="expression" dxfId="25" priority="27">
      <formula>OR($H5=4,$H5=5,$H5=6)</formula>
    </cfRule>
  </conditionalFormatting>
  <conditionalFormatting sqref="B8">
    <cfRule type="expression" dxfId="24" priority="26">
      <formula>OR($H8=1,$H8=2)</formula>
    </cfRule>
  </conditionalFormatting>
  <conditionalFormatting sqref="A5:A14 A17:A25 A28:A34">
    <cfRule type="expression" dxfId="23" priority="25">
      <formula>NOT(G5)</formula>
    </cfRule>
  </conditionalFormatting>
  <conditionalFormatting sqref="C1:F1">
    <cfRule type="expression" dxfId="22" priority="23">
      <formula>H1</formula>
    </cfRule>
    <cfRule type="expression" dxfId="21" priority="24">
      <formula>NOT(H1)</formula>
    </cfRule>
  </conditionalFormatting>
  <conditionalFormatting sqref="A1">
    <cfRule type="expression" dxfId="20" priority="21">
      <formula>NOT(G1)</formula>
    </cfRule>
    <cfRule type="expression" dxfId="19" priority="22">
      <formula>AND(G1)</formula>
    </cfRule>
  </conditionalFormatting>
  <conditionalFormatting sqref="C2">
    <cfRule type="expression" dxfId="18" priority="20">
      <formula>(G2=1)</formula>
    </cfRule>
  </conditionalFormatting>
  <conditionalFormatting sqref="D2">
    <cfRule type="expression" dxfId="17" priority="19">
      <formula>(G2=2)</formula>
    </cfRule>
  </conditionalFormatting>
  <conditionalFormatting sqref="E2">
    <cfRule type="expression" dxfId="16" priority="18">
      <formula>(G2=3)</formula>
    </cfRule>
  </conditionalFormatting>
  <conditionalFormatting sqref="F18">
    <cfRule type="expression" dxfId="15" priority="17">
      <formula>OR($H18=8,$H18=9)</formula>
    </cfRule>
  </conditionalFormatting>
  <conditionalFormatting sqref="C18">
    <cfRule type="expression" dxfId="14" priority="16">
      <formula>OR($H18=2,$H18=3,$H18=4)</formula>
    </cfRule>
  </conditionalFormatting>
  <conditionalFormatting sqref="E18">
    <cfRule type="expression" dxfId="13" priority="15">
      <formula>OR($H18=6,$H18=7,$H18=8)</formula>
    </cfRule>
  </conditionalFormatting>
  <conditionalFormatting sqref="D18">
    <cfRule type="expression" dxfId="12" priority="14">
      <formula>OR($H18=4,$H18=5,$H18=6)</formula>
    </cfRule>
  </conditionalFormatting>
  <conditionalFormatting sqref="B18:B22 B24:B25">
    <cfRule type="expression" dxfId="11" priority="13">
      <formula>OR($H18=1,$H18=2)</formula>
    </cfRule>
  </conditionalFormatting>
  <conditionalFormatting sqref="B7">
    <cfRule type="expression" dxfId="10" priority="12">
      <formula>OR($H7=1,$H7=2)</formula>
    </cfRule>
  </conditionalFormatting>
  <conditionalFormatting sqref="B13">
    <cfRule type="expression" dxfId="9" priority="11">
      <formula>OR($H13=1,$H13=2)</formula>
    </cfRule>
  </conditionalFormatting>
  <conditionalFormatting sqref="B14">
    <cfRule type="expression" dxfId="8" priority="10">
      <formula>OR($H14=1,$H14=2)</formula>
    </cfRule>
  </conditionalFormatting>
  <conditionalFormatting sqref="B6">
    <cfRule type="expression" dxfId="7" priority="9">
      <formula>OR(H6=1,H6=2)</formula>
    </cfRule>
  </conditionalFormatting>
  <conditionalFormatting sqref="B9">
    <cfRule type="expression" dxfId="6" priority="8">
      <formula>OR(H9=1,H9=2)</formula>
    </cfRule>
  </conditionalFormatting>
  <conditionalFormatting sqref="B10">
    <cfRule type="expression" dxfId="5" priority="7">
      <formula>OR(H10=1,H10=2)</formula>
    </cfRule>
  </conditionalFormatting>
  <conditionalFormatting sqref="B12">
    <cfRule type="expression" dxfId="4" priority="6">
      <formula>OR(H12=1,H12=2)</formula>
    </cfRule>
  </conditionalFormatting>
  <conditionalFormatting sqref="B11">
    <cfRule type="expression" dxfId="3" priority="5">
      <formula>OR(H11=1,H11=2)</formula>
    </cfRule>
  </conditionalFormatting>
  <conditionalFormatting sqref="B5">
    <cfRule type="expression" dxfId="2" priority="4">
      <formula>OR(H5=1,H5=2)</formula>
    </cfRule>
  </conditionalFormatting>
  <conditionalFormatting sqref="B17 B23">
    <cfRule type="expression" dxfId="1" priority="3">
      <formula>OR(H17=1,H17=2)</formula>
    </cfRule>
  </conditionalFormatting>
  <conditionalFormatting sqref="B28 B30 B32:B33">
    <cfRule type="expression" dxfId="0" priority="2">
      <formula>OR(H28=1,H28=2)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1</vt:i4>
      </vt:variant>
    </vt:vector>
  </HeadingPairs>
  <TitlesOfParts>
    <vt:vector size="8" baseType="lpstr">
      <vt:lpstr>Verzamelstaat</vt:lpstr>
      <vt:lpstr>Woordrapport</vt:lpstr>
      <vt:lpstr>Rubric</vt:lpstr>
      <vt:lpstr>Curves</vt:lpstr>
      <vt:lpstr>Invulcheck</vt:lpstr>
      <vt:lpstr>VerlengdeStage</vt:lpstr>
      <vt:lpstr>Printversie</vt:lpstr>
      <vt:lpstr>Rubric!_GoBack</vt:lpstr>
    </vt:vector>
  </TitlesOfParts>
  <Company>Radboud Universiteit Nijmegen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Peter-Arno Coppen</dc:creator>
  <cp:lastModifiedBy>Windows-gebruiker</cp:lastModifiedBy>
  <cp:lastPrinted>2014-09-17T08:53:33Z</cp:lastPrinted>
  <dcterms:created xsi:type="dcterms:W3CDTF">2014-01-17T09:28:27Z</dcterms:created>
  <dcterms:modified xsi:type="dcterms:W3CDTF">2017-09-10T13:35:49Z</dcterms:modified>
</cp:coreProperties>
</file>